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690" windowWidth="11655" windowHeight="3165" tabRatio="591" firstSheet="61" activeTab="62"/>
  </bookViews>
  <sheets>
    <sheet name="Table of Contents" sheetId="163" r:id="rId1"/>
    <sheet name="Revenue Projections Detail" sheetId="26" r:id="rId2"/>
    <sheet name="Affordable Assessment" sheetId="133" r:id="rId3"/>
    <sheet name="Financial Policy Numbers" sheetId="143" r:id="rId4"/>
    <sheet name="Working Budget with funding det" sheetId="66" r:id="rId5"/>
    <sheet name="113 Town Mtg" sheetId="29" r:id="rId6"/>
    <sheet name="122 Selectboard" sheetId="30" r:id="rId7"/>
    <sheet name="131 Fin Comm" sheetId="31" r:id="rId8"/>
    <sheet name="132 Reserve Fund" sheetId="32" r:id="rId9"/>
    <sheet name="135 Acct" sheetId="33" r:id="rId10"/>
    <sheet name="141 BOA" sheetId="34" r:id="rId11"/>
    <sheet name="145 Treas" sheetId="35" r:id="rId12"/>
    <sheet name="151 Counsel" sheetId="36" r:id="rId13"/>
    <sheet name="155 IT" sheetId="149" r:id="rId14"/>
    <sheet name="159 Shared Costs" sheetId="77" r:id="rId15"/>
    <sheet name="161 Clerk" sheetId="38" r:id="rId16"/>
    <sheet name="175 Planning" sheetId="40" r:id="rId17"/>
    <sheet name="176 ZBA" sheetId="41" r:id="rId18"/>
    <sheet name="182 MEDIC" sheetId="139" r:id="rId19"/>
    <sheet name="190 Publ Bldg Utilities" sheetId="87" r:id="rId20"/>
    <sheet name="211 Police" sheetId="43" r:id="rId21"/>
    <sheet name="212 Dispatch" sheetId="60" r:id="rId22"/>
    <sheet name="241 Bldg" sheetId="44" r:id="rId23"/>
    <sheet name="244 Sealer" sheetId="45" r:id="rId24"/>
    <sheet name="291 Emergency" sheetId="46" r:id="rId25"/>
    <sheet name="292 Animal" sheetId="47" r:id="rId26"/>
    <sheet name="294 Forest Warden" sheetId="48" r:id="rId27"/>
    <sheet name="299 Tree Warden" sheetId="86" r:id="rId28"/>
    <sheet name="300 Schools" sheetId="13" r:id="rId29"/>
    <sheet name="420 DPW" sheetId="15" r:id="rId30"/>
    <sheet name="192 Public Bldgs" sheetId="56" r:id="rId31"/>
    <sheet name="422 Maintenance" sheetId="17" r:id="rId32"/>
    <sheet name="652 Parks" sheetId="23" r:id="rId33"/>
    <sheet name="423 Snow" sheetId="18" r:id="rId34"/>
    <sheet name="433 Solid Waste" sheetId="22" r:id="rId35"/>
    <sheet name="480 Charging Stations" sheetId="165" r:id="rId36"/>
    <sheet name="491 Cemetery" sheetId="7" r:id="rId37"/>
    <sheet name="511 BOH" sheetId="8" r:id="rId38"/>
    <sheet name="541 COA" sheetId="9" r:id="rId39"/>
    <sheet name="543 Vets" sheetId="10" r:id="rId40"/>
    <sheet name="610 Library" sheetId="11" r:id="rId41"/>
    <sheet name="630 Recreation" sheetId="49" r:id="rId42"/>
    <sheet name="691 Historical Comm" sheetId="135" r:id="rId43"/>
    <sheet name="693 Memorials" sheetId="50" r:id="rId44"/>
    <sheet name="700 Debt " sheetId="51" r:id="rId45"/>
    <sheet name="840 Intergovt" sheetId="52" r:id="rId46"/>
    <sheet name="910 Benefits" sheetId="53" r:id="rId47"/>
    <sheet name="946 Insurance" sheetId="54" r:id="rId48"/>
    <sheet name="Colle 228 183" sheetId="93" r:id="rId49"/>
    <sheet name="600 482 Airport" sheetId="24" r:id="rId50"/>
    <sheet name="661 440 WPCF" sheetId="12" r:id="rId51"/>
    <sheet name="661 449 Hwy" sheetId="5" r:id="rId52"/>
    <sheet name="661 700 Debt" sheetId="6" r:id="rId53"/>
    <sheet name="661 910 Benefits" sheetId="4" r:id="rId54"/>
    <sheet name="Debt Exclusion Calc." sheetId="2" r:id="rId55"/>
    <sheet name="Police Wages" sheetId="138" r:id="rId56"/>
    <sheet name="UE Wages" sheetId="161" r:id="rId57"/>
    <sheet name="NAGE &amp; Non-Union Wages" sheetId="141" r:id="rId58"/>
    <sheet name="Longevity" sheetId="140" r:id="rId59"/>
    <sheet name="Split Debt Service" sheetId="148" r:id="rId60"/>
    <sheet name="Combined Debt Schedule" sheetId="159" r:id="rId61"/>
    <sheet name="Town Meeting Wages By Position" sheetId="137" r:id="rId62"/>
    <sheet name="Report to Town Meeting " sheetId="129" r:id="rId63"/>
  </sheets>
  <definedNames>
    <definedName name="_xlnm.Print_Area" localSheetId="5">'113 Town Mtg'!$A$1:$M$38</definedName>
    <definedName name="_xlnm.Print_Area" localSheetId="6">'122 Selectboard'!$A$1:$M$67</definedName>
    <definedName name="_xlnm.Print_Area" localSheetId="7">'131 Fin Comm'!$A$1:$M$29</definedName>
    <definedName name="_xlnm.Print_Area" localSheetId="8">'132 Reserve Fund'!$A$1:$M$14</definedName>
    <definedName name="_xlnm.Print_Area" localSheetId="9">'135 Acct'!$A$1:$M$48</definedName>
    <definedName name="_xlnm.Print_Area" localSheetId="10">'141 BOA'!$A$1:$M$78</definedName>
    <definedName name="_xlnm.Print_Area" localSheetId="11">'145 Treas'!$A$1:$M$75</definedName>
    <definedName name="_xlnm.Print_Area" localSheetId="12">'151 Counsel'!$A$1:$M$22</definedName>
    <definedName name="_xlnm.Print_Area" localSheetId="13">'155 IT'!$A$1:$M$45</definedName>
    <definedName name="_xlnm.Print_Area" localSheetId="14">'159 Shared Costs'!$A$1:$M$39</definedName>
    <definedName name="_xlnm.Print_Area" localSheetId="15">'161 Clerk'!$A$1:$M$74</definedName>
    <definedName name="_xlnm.Print_Area" localSheetId="16">'175 Planning'!$A$1:$M$68</definedName>
    <definedName name="_xlnm.Print_Area" localSheetId="17">'176 ZBA'!$A$1:$M$29</definedName>
    <definedName name="_xlnm.Print_Area" localSheetId="18">'182 MEDIC'!$A$1:$M$28</definedName>
    <definedName name="_xlnm.Print_Area" localSheetId="19">'190 Publ Bldg Utilities'!$A$1:$M$73</definedName>
    <definedName name="_xlnm.Print_Area" localSheetId="30">'192 Public Bldgs'!$A$1:$M$40</definedName>
    <definedName name="_xlnm.Print_Area" localSheetId="20">'211 Police'!$A$9:$M$142</definedName>
    <definedName name="_xlnm.Print_Area" localSheetId="21">'212 Dispatch'!$A$1:$M$59</definedName>
    <definedName name="_xlnm.Print_Area" localSheetId="22">'241 Bldg'!$A$1:$M$65</definedName>
    <definedName name="_xlnm.Print_Area" localSheetId="23">'244 Sealer'!$A$1:$M$20</definedName>
    <definedName name="_xlnm.Print_Area" localSheetId="24">'291 Emergency'!$A$1:$M$25</definedName>
    <definedName name="_xlnm.Print_Area" localSheetId="25">'292 Animal'!$A$1:$M$35</definedName>
    <definedName name="_xlnm.Print_Area" localSheetId="26">'294 Forest Warden'!$A$1:$M$18</definedName>
    <definedName name="_xlnm.Print_Area" localSheetId="27">'299 Tree Warden'!$A$1:$M$30</definedName>
    <definedName name="_xlnm.Print_Area" localSheetId="28">'300 Schools'!$A$1:$M$30</definedName>
    <definedName name="_xlnm.Print_Area" localSheetId="29">'420 DPW'!$A$1:$M$100</definedName>
    <definedName name="_xlnm.Print_Area" localSheetId="31">'422 Maintenance'!$A$1:$M$98</definedName>
    <definedName name="_xlnm.Print_Area" localSheetId="33">'423 Snow'!$A$1:$M$32</definedName>
    <definedName name="_xlnm.Print_Area" localSheetId="34">'433 Solid Waste'!$A$1:$M$44</definedName>
    <definedName name="_xlnm.Print_Area" localSheetId="36">'491 Cemetery'!$A$1:$M$24</definedName>
    <definedName name="_xlnm.Print_Area" localSheetId="37">'511 BOH'!$A$1:$M$77</definedName>
    <definedName name="_xlnm.Print_Area" localSheetId="38">'541 COA'!$A$1:$M$50</definedName>
    <definedName name="_xlnm.Print_Area" localSheetId="39">'543 Vets'!$A$1:$M$24</definedName>
    <definedName name="_xlnm.Print_Area" localSheetId="49">'600 482 Airport'!$A$1:$M$79</definedName>
    <definedName name="_xlnm.Print_Area" localSheetId="40">'610 Library'!$A$1:$M$93</definedName>
    <definedName name="_xlnm.Print_Area" localSheetId="41">'630 Recreation'!$A$1:$M$54</definedName>
    <definedName name="_xlnm.Print_Area" localSheetId="32">'652 Parks'!$A$1:$M$29</definedName>
    <definedName name="_xlnm.Print_Area" localSheetId="50">'661 440 WPCF'!$A$8:$M$96</definedName>
    <definedName name="_xlnm.Print_Area" localSheetId="51">'661 449 Hwy'!$A$1:$M$46</definedName>
    <definedName name="_xlnm.Print_Area" localSheetId="52">'661 700 Debt'!$A$8:$M$61</definedName>
    <definedName name="_xlnm.Print_Area" localSheetId="53">'661 910 Benefits'!$A$1:$M$33</definedName>
    <definedName name="_xlnm.Print_Area" localSheetId="42">'691 Historical Comm'!$A$1:$M$21</definedName>
    <definedName name="_xlnm.Print_Area" localSheetId="43">'693 Memorials'!$A$1:$M$21</definedName>
    <definedName name="_xlnm.Print_Area" localSheetId="44">'700 Debt '!$A$8:$M$60</definedName>
    <definedName name="_xlnm.Print_Area" localSheetId="45">'840 Intergovt'!$A$1:$M$29</definedName>
    <definedName name="_xlnm.Print_Area" localSheetId="46">'910 Benefits'!$A$1:$M$34</definedName>
    <definedName name="_xlnm.Print_Area" localSheetId="47">'946 Insurance'!$A$1:$M$29</definedName>
    <definedName name="_xlnm.Print_Area" localSheetId="2">'Affordable Assessment'!$A$1:$E$34</definedName>
    <definedName name="_xlnm.Print_Area" localSheetId="48">'Colle 228 183'!$A$1:$M$49</definedName>
    <definedName name="_xlnm.Print_Area" localSheetId="60">'Combined Debt Schedule'!$D$4:$AG$45</definedName>
    <definedName name="_xlnm.Print_Area" localSheetId="3">'Financial Policy Numbers'!$A$1:$H$119</definedName>
    <definedName name="_xlnm.Print_Area" localSheetId="57">'NAGE &amp; Non-Union Wages'!$A$23:$K$36</definedName>
    <definedName name="_xlnm.Print_Area" localSheetId="55">'Police Wages'!$A$1:$I$20</definedName>
    <definedName name="_xlnm.Print_Area" localSheetId="62">'Report to Town Meeting '!$A$5:$N$106</definedName>
    <definedName name="_xlnm.Print_Area" localSheetId="1">'Revenue Projections Detail'!$H$7:$K$102</definedName>
    <definedName name="_xlnm.Print_Area" localSheetId="61">'Town Meeting Wages By Position'!$A$5:$F$121</definedName>
    <definedName name="_xlnm.Print_Area" localSheetId="4">'Working Budget with funding det'!$J$29:$N$213</definedName>
    <definedName name="_xlnm.Print_Titles" localSheetId="30">'192 Public Bldgs'!$2:$7</definedName>
    <definedName name="_xlnm.Print_Titles" localSheetId="20">'211 Police'!$1:$7</definedName>
    <definedName name="_xlnm.Print_Titles" localSheetId="25">'292 Animal'!$2:$7</definedName>
    <definedName name="_xlnm.Print_Titles" localSheetId="29">'420 DPW'!$2:$8</definedName>
    <definedName name="_xlnm.Print_Titles" localSheetId="31">'422 Maintenance'!$2:$7</definedName>
    <definedName name="_xlnm.Print_Titles" localSheetId="50">'661 440 WPCF'!$1:$7</definedName>
    <definedName name="_xlnm.Print_Titles" localSheetId="52">'661 700 Debt'!$2:$7</definedName>
    <definedName name="_xlnm.Print_Titles" localSheetId="44">'700 Debt '!$A:$B,'700 Debt '!$1:$7</definedName>
    <definedName name="_xlnm.Print_Titles" localSheetId="60">'Combined Debt Schedule'!$B:$B,'Combined Debt Schedule'!$3:$3</definedName>
    <definedName name="_xlnm.Print_Titles" localSheetId="3">'Financial Policy Numbers'!$1:$1</definedName>
    <definedName name="_xlnm.Print_Titles" localSheetId="62">'Report to Town Meeting '!$A:$B,'Report to Town Meeting '!$2:$4</definedName>
    <definedName name="_xlnm.Print_Titles" localSheetId="1">'Revenue Projections Detail'!$A:$A,'Revenue Projections Detail'!$1:$4</definedName>
    <definedName name="_xlnm.Print_Titles" localSheetId="61">'Town Meeting Wages By Position'!$1:$4</definedName>
    <definedName name="_xlnm.Print_Titles" localSheetId="4">'Working Budget with funding det'!$A:$B,'Working Budget with funding det'!$1:$4</definedName>
  </definedNames>
  <calcPr calcId="145621"/>
</workbook>
</file>

<file path=xl/calcChain.xml><?xml version="1.0" encoding="utf-8"?>
<calcChain xmlns="http://schemas.openxmlformats.org/spreadsheetml/2006/main">
  <c r="H81" i="129" l="1"/>
  <c r="H92" i="129"/>
  <c r="H91" i="129"/>
  <c r="H83" i="129"/>
  <c r="H82" i="129"/>
  <c r="I82" i="129"/>
  <c r="D93" i="143" l="1"/>
  <c r="D121" i="137" l="1"/>
  <c r="D21" i="137"/>
  <c r="D22" i="137"/>
  <c r="L20" i="141"/>
  <c r="K20" i="141"/>
  <c r="J20" i="141"/>
  <c r="I20" i="141"/>
  <c r="H20" i="141"/>
  <c r="G20" i="141"/>
  <c r="F20" i="141"/>
  <c r="E20" i="141"/>
  <c r="D20" i="141"/>
  <c r="L19" i="141"/>
  <c r="K19" i="141"/>
  <c r="J19" i="141"/>
  <c r="I19" i="141"/>
  <c r="H19" i="141"/>
  <c r="G19" i="141"/>
  <c r="F19" i="141"/>
  <c r="E19" i="141"/>
  <c r="D19" i="141"/>
  <c r="L18" i="141"/>
  <c r="K18" i="141"/>
  <c r="J18" i="141"/>
  <c r="I18" i="141"/>
  <c r="H18" i="141"/>
  <c r="G18" i="141"/>
  <c r="F18" i="141"/>
  <c r="E18" i="141"/>
  <c r="D18" i="141"/>
  <c r="C20" i="141"/>
  <c r="C19" i="141"/>
  <c r="C18" i="141"/>
  <c r="D30" i="137"/>
  <c r="K52" i="12" l="1"/>
  <c r="I52" i="12"/>
  <c r="L39" i="12"/>
  <c r="L108" i="66" l="1"/>
  <c r="L109" i="66"/>
  <c r="L114" i="66"/>
  <c r="L117" i="66"/>
  <c r="K114" i="66"/>
  <c r="K32" i="66"/>
  <c r="K34" i="66"/>
  <c r="K35" i="66"/>
  <c r="K36" i="66"/>
  <c r="K40" i="66"/>
  <c r="K41" i="66"/>
  <c r="K42" i="66"/>
  <c r="K45" i="66"/>
  <c r="K46" i="66"/>
  <c r="K47" i="66"/>
  <c r="K56" i="66"/>
  <c r="K57" i="66"/>
  <c r="K58" i="66"/>
  <c r="K60" i="66"/>
  <c r="K61" i="66"/>
  <c r="K67" i="66"/>
  <c r="K68" i="66"/>
  <c r="K69" i="66"/>
  <c r="K70" i="66"/>
  <c r="K71" i="66"/>
  <c r="K79" i="66"/>
  <c r="K87" i="66"/>
  <c r="K86" i="66"/>
  <c r="K85" i="66"/>
  <c r="K92" i="66"/>
  <c r="K95" i="66"/>
  <c r="K99" i="66"/>
  <c r="K98" i="66"/>
  <c r="K109" i="66"/>
  <c r="K108" i="66"/>
  <c r="K107" i="66"/>
  <c r="K117" i="66"/>
  <c r="P47" i="6" l="1"/>
  <c r="P46" i="6"/>
  <c r="P42" i="6"/>
  <c r="P41" i="6"/>
  <c r="P40" i="6"/>
  <c r="P39" i="6"/>
  <c r="P38" i="6"/>
  <c r="P37" i="6"/>
  <c r="P16" i="6"/>
  <c r="P15" i="6"/>
  <c r="P14" i="6"/>
  <c r="P13" i="6"/>
  <c r="N184" i="66" l="1"/>
  <c r="L141" i="66"/>
  <c r="M141" i="66" s="1"/>
  <c r="L140" i="66"/>
  <c r="N132" i="66"/>
  <c r="L132" i="66"/>
  <c r="N140" i="66"/>
  <c r="L136" i="66"/>
  <c r="N136" i="66" s="1"/>
  <c r="K13" i="66" l="1"/>
  <c r="L192" i="66"/>
  <c r="O192" i="66"/>
  <c r="L13" i="66" l="1"/>
  <c r="O13" i="66"/>
  <c r="L183" i="66"/>
  <c r="L185" i="66"/>
  <c r="N186" i="66"/>
  <c r="L186" i="66"/>
  <c r="L11" i="18" l="1"/>
  <c r="S188" i="66"/>
  <c r="N187" i="66"/>
  <c r="N185" i="66"/>
  <c r="N183" i="66"/>
  <c r="S189" i="66"/>
  <c r="M149" i="66" l="1"/>
  <c r="L149" i="66"/>
  <c r="M148" i="66"/>
  <c r="L148" i="66"/>
  <c r="M147" i="66" l="1"/>
  <c r="L147" i="66"/>
  <c r="L9" i="13" l="1"/>
  <c r="K24" i="26" l="1"/>
  <c r="K25" i="26" s="1"/>
  <c r="K28" i="26" s="1"/>
  <c r="N41" i="51" l="1"/>
  <c r="N34" i="51"/>
  <c r="N17" i="51"/>
  <c r="N12" i="51"/>
  <c r="I29" i="31" l="1"/>
  <c r="H29" i="31"/>
  <c r="I28" i="31"/>
  <c r="H28" i="31"/>
  <c r="I27" i="31"/>
  <c r="H27" i="31"/>
  <c r="I26" i="31"/>
  <c r="K26" i="31" s="1"/>
  <c r="H26" i="31"/>
  <c r="I25" i="31"/>
  <c r="H25" i="31"/>
  <c r="I24" i="31"/>
  <c r="H24" i="31"/>
  <c r="K27" i="31"/>
  <c r="G41" i="129"/>
  <c r="F41" i="129"/>
  <c r="E41" i="129"/>
  <c r="D41" i="129"/>
  <c r="D42" i="129" s="1"/>
  <c r="H42" i="129"/>
  <c r="G42" i="129"/>
  <c r="F42" i="129"/>
  <c r="E42" i="129"/>
  <c r="C42" i="129"/>
  <c r="H49" i="129"/>
  <c r="K25" i="31" l="1"/>
  <c r="K29" i="31"/>
  <c r="J24" i="31"/>
  <c r="K24" i="31" s="1"/>
  <c r="J25" i="31"/>
  <c r="J26" i="31"/>
  <c r="J27" i="31"/>
  <c r="J28" i="31"/>
  <c r="K28" i="31" s="1"/>
  <c r="J29" i="31"/>
  <c r="L142" i="66" l="1"/>
  <c r="M142" i="66" l="1"/>
  <c r="L154" i="66" l="1"/>
  <c r="L151" i="66"/>
  <c r="M154" i="66" l="1"/>
  <c r="M151" i="66"/>
  <c r="I40" i="60"/>
  <c r="I38" i="60"/>
  <c r="I48" i="5"/>
  <c r="J48" i="5" s="1"/>
  <c r="K48" i="5" s="1"/>
  <c r="H48" i="5"/>
  <c r="I97" i="12"/>
  <c r="K97" i="12" s="1"/>
  <c r="H97" i="12"/>
  <c r="I51" i="93"/>
  <c r="H51" i="93"/>
  <c r="I31" i="54"/>
  <c r="H31" i="54"/>
  <c r="H36" i="53"/>
  <c r="H31" i="52"/>
  <c r="I23" i="50"/>
  <c r="H23" i="50"/>
  <c r="H23" i="135"/>
  <c r="H95" i="11"/>
  <c r="I26" i="10"/>
  <c r="J26" i="10" s="1"/>
  <c r="H26" i="10"/>
  <c r="H52" i="9"/>
  <c r="I27" i="7"/>
  <c r="H27" i="7"/>
  <c r="H31" i="23"/>
  <c r="H34" i="18"/>
  <c r="I46" i="22"/>
  <c r="J46" i="22" s="1"/>
  <c r="H46" i="22"/>
  <c r="H100" i="17"/>
  <c r="I20" i="48"/>
  <c r="J20" i="48" s="1"/>
  <c r="K20" i="48" s="1"/>
  <c r="H20" i="48"/>
  <c r="I27" i="46"/>
  <c r="J27" i="46" s="1"/>
  <c r="K27" i="46" s="1"/>
  <c r="H27" i="46"/>
  <c r="I22" i="45"/>
  <c r="H22" i="45"/>
  <c r="H67" i="44"/>
  <c r="H76" i="38"/>
  <c r="H41" i="77"/>
  <c r="I24" i="36"/>
  <c r="H24" i="36"/>
  <c r="L16" i="32"/>
  <c r="M16" i="32" s="1"/>
  <c r="H35" i="4"/>
  <c r="I23" i="135"/>
  <c r="H26" i="165"/>
  <c r="H42" i="56"/>
  <c r="I32" i="86"/>
  <c r="J32" i="86" s="1"/>
  <c r="K32" i="86" s="1"/>
  <c r="H32" i="86"/>
  <c r="H37" i="47"/>
  <c r="I30" i="139"/>
  <c r="J30" i="139" s="1"/>
  <c r="K30" i="139" s="1"/>
  <c r="H30" i="139"/>
  <c r="I31" i="41"/>
  <c r="J31" i="41" s="1"/>
  <c r="H31" i="41"/>
  <c r="H42" i="149"/>
  <c r="J97" i="12" l="1"/>
  <c r="J51" i="93"/>
  <c r="K51" i="93" s="1"/>
  <c r="J31" i="54"/>
  <c r="K31" i="54" s="1"/>
  <c r="J23" i="50"/>
  <c r="K23" i="50" s="1"/>
  <c r="J23" i="135"/>
  <c r="K23" i="135" s="1"/>
  <c r="K26" i="10"/>
  <c r="J27" i="7"/>
  <c r="K27" i="7"/>
  <c r="K46" i="22"/>
  <c r="J22" i="45"/>
  <c r="K22" i="45" s="1"/>
  <c r="J24" i="36"/>
  <c r="K24" i="36" s="1"/>
  <c r="K31" i="41"/>
  <c r="J40" i="29" l="1"/>
  <c r="K40" i="29" s="1"/>
  <c r="I40" i="29"/>
  <c r="H40" i="29"/>
  <c r="I38" i="29" l="1"/>
  <c r="J38" i="29" s="1"/>
  <c r="K38" i="29" s="1"/>
  <c r="H38" i="29"/>
  <c r="K37" i="29"/>
  <c r="I37" i="29"/>
  <c r="J37" i="29" s="1"/>
  <c r="H37" i="29"/>
  <c r="K36" i="29"/>
  <c r="I36" i="29"/>
  <c r="J36" i="29" s="1"/>
  <c r="H36" i="29"/>
  <c r="I35" i="29"/>
  <c r="J35" i="29" s="1"/>
  <c r="K35" i="29" s="1"/>
  <c r="H35" i="29"/>
  <c r="I34" i="29"/>
  <c r="J34" i="29" s="1"/>
  <c r="K34" i="29" s="1"/>
  <c r="H34" i="29"/>
  <c r="I33" i="29"/>
  <c r="J33" i="29" s="1"/>
  <c r="K33" i="29" s="1"/>
  <c r="H33" i="29"/>
  <c r="I32" i="29"/>
  <c r="J32" i="29" s="1"/>
  <c r="K32" i="29" s="1"/>
  <c r="H32" i="29"/>
  <c r="K31" i="29"/>
  <c r="I31" i="29"/>
  <c r="J31" i="29" s="1"/>
  <c r="H31" i="29"/>
  <c r="H30" i="29"/>
  <c r="H29" i="29"/>
  <c r="I30" i="29"/>
  <c r="I38" i="12" l="1"/>
  <c r="I53" i="12"/>
  <c r="K26" i="139"/>
  <c r="J26" i="139"/>
  <c r="I26" i="139"/>
  <c r="H26" i="139"/>
  <c r="L17" i="139"/>
  <c r="L10" i="139"/>
  <c r="I46" i="40" l="1"/>
  <c r="K46" i="40" s="1"/>
  <c r="L9" i="40" s="1"/>
  <c r="K45" i="40"/>
  <c r="N47" i="40"/>
  <c r="I47" i="40"/>
  <c r="K47" i="40" s="1"/>
  <c r="H54" i="49"/>
  <c r="H53" i="49"/>
  <c r="H52" i="49"/>
  <c r="H51" i="49"/>
  <c r="H50" i="49"/>
  <c r="H56" i="49" s="1"/>
  <c r="H49" i="49"/>
  <c r="H48" i="49"/>
  <c r="H45" i="5"/>
  <c r="I96" i="12" l="1"/>
  <c r="H96" i="12"/>
  <c r="I95" i="12"/>
  <c r="H95" i="12"/>
  <c r="H94" i="12"/>
  <c r="I93" i="12"/>
  <c r="H93" i="12"/>
  <c r="I92" i="12"/>
  <c r="I91" i="12"/>
  <c r="H91" i="12"/>
  <c r="J46" i="35" l="1"/>
  <c r="I62" i="35" l="1"/>
  <c r="J62" i="35" s="1"/>
  <c r="H62" i="35"/>
  <c r="I61" i="35"/>
  <c r="J61" i="35" s="1"/>
  <c r="H61" i="35"/>
  <c r="I60" i="35"/>
  <c r="J60" i="35" s="1"/>
  <c r="H60" i="35"/>
  <c r="K46" i="35"/>
  <c r="I46" i="35"/>
  <c r="J43" i="35"/>
  <c r="J44" i="35"/>
  <c r="I44" i="35"/>
  <c r="K44" i="35" s="1"/>
  <c r="J47" i="35"/>
  <c r="L18" i="8" l="1"/>
  <c r="L13" i="34" l="1"/>
  <c r="H60" i="34"/>
  <c r="H59" i="34"/>
  <c r="H80" i="34" s="1"/>
  <c r="H58" i="34"/>
  <c r="H57" i="34"/>
  <c r="H56" i="34"/>
  <c r="H55" i="34"/>
  <c r="K46" i="34"/>
  <c r="H61" i="34"/>
  <c r="H62" i="34"/>
  <c r="H63" i="34"/>
  <c r="H64" i="34"/>
  <c r="H65" i="34"/>
  <c r="H66" i="34"/>
  <c r="H67" i="34"/>
  <c r="H68" i="34"/>
  <c r="H69" i="34"/>
  <c r="H70" i="34"/>
  <c r="H71" i="34"/>
  <c r="H72" i="34"/>
  <c r="H73" i="34"/>
  <c r="H74" i="34"/>
  <c r="H75" i="34"/>
  <c r="H76" i="34"/>
  <c r="H77" i="34"/>
  <c r="H78" i="34"/>
  <c r="C93" i="143" l="1"/>
  <c r="I43" i="24" l="1"/>
  <c r="I22" i="165" l="1"/>
  <c r="I24" i="165"/>
  <c r="J24" i="165" s="1"/>
  <c r="K15" i="165"/>
  <c r="J15" i="165"/>
  <c r="I15" i="165"/>
  <c r="H15" i="165"/>
  <c r="I23" i="165"/>
  <c r="K23" i="165" s="1"/>
  <c r="I21" i="165"/>
  <c r="H21" i="165"/>
  <c r="J21" i="165" s="1"/>
  <c r="K21" i="165" s="1"/>
  <c r="L13" i="165"/>
  <c r="L15" i="165" s="1"/>
  <c r="K13" i="165"/>
  <c r="J13" i="165"/>
  <c r="I13" i="165"/>
  <c r="H13" i="165"/>
  <c r="G13" i="165"/>
  <c r="G15" i="165" s="1"/>
  <c r="F13" i="165"/>
  <c r="F15" i="165" s="1"/>
  <c r="E13" i="165"/>
  <c r="D13" i="165"/>
  <c r="C13" i="165"/>
  <c r="I40" i="129" l="1"/>
  <c r="M40" i="129" s="1"/>
  <c r="N40" i="129" s="1"/>
  <c r="J22" i="165"/>
  <c r="I26" i="165"/>
  <c r="M13" i="165"/>
  <c r="K22" i="165"/>
  <c r="K24" i="165"/>
  <c r="J23" i="165"/>
  <c r="E15" i="165"/>
  <c r="D15" i="165"/>
  <c r="C15" i="165"/>
  <c r="J26" i="165" l="1"/>
  <c r="K26" i="165"/>
  <c r="J40" i="129"/>
  <c r="M15" i="165"/>
  <c r="L70" i="66" s="1"/>
  <c r="I68" i="26"/>
  <c r="I73" i="26"/>
  <c r="I47" i="26"/>
  <c r="I49" i="26" s="1"/>
  <c r="I55" i="26" s="1"/>
  <c r="I24" i="26"/>
  <c r="I25" i="26" s="1"/>
  <c r="I28" i="26" s="1"/>
  <c r="I9" i="26"/>
  <c r="I13" i="26" s="1"/>
  <c r="I16" i="26" s="1"/>
  <c r="I75" i="26" s="1"/>
  <c r="L50" i="51" l="1"/>
  <c r="L27" i="51"/>
  <c r="K54" i="26" l="1"/>
  <c r="I40" i="149" l="1"/>
  <c r="J40" i="149" s="1"/>
  <c r="H40" i="149"/>
  <c r="K40" i="149" l="1"/>
  <c r="I88" i="15" l="1"/>
  <c r="H66" i="129" l="1"/>
  <c r="H65" i="129"/>
  <c r="H62" i="129"/>
  <c r="H55" i="129"/>
  <c r="H54" i="129"/>
  <c r="H48" i="129"/>
  <c r="H47" i="129"/>
  <c r="H41" i="129"/>
  <c r="H39" i="129"/>
  <c r="H38" i="129"/>
  <c r="H37" i="129"/>
  <c r="H36" i="129"/>
  <c r="H32" i="129"/>
  <c r="H31" i="129"/>
  <c r="H30" i="129"/>
  <c r="H28" i="129"/>
  <c r="H27" i="129"/>
  <c r="H19" i="129"/>
  <c r="H18" i="129"/>
  <c r="H15" i="129"/>
  <c r="H14" i="129"/>
  <c r="H13" i="129"/>
  <c r="H9" i="129"/>
  <c r="H6" i="129"/>
  <c r="E27" i="2" l="1"/>
  <c r="G19" i="2"/>
  <c r="I19" i="2" l="1"/>
  <c r="I30" i="12"/>
  <c r="I20" i="12"/>
  <c r="I21" i="17"/>
  <c r="I39" i="17"/>
  <c r="I43" i="43"/>
  <c r="I14" i="44"/>
  <c r="I74" i="15" l="1"/>
  <c r="I81" i="15"/>
  <c r="I78" i="15"/>
  <c r="I77" i="15"/>
  <c r="I86" i="15"/>
  <c r="I84" i="15"/>
  <c r="I80" i="15"/>
  <c r="I79" i="15"/>
  <c r="I75" i="15"/>
  <c r="I73" i="15"/>
  <c r="I76" i="15"/>
  <c r="I87" i="15"/>
  <c r="I83" i="15"/>
  <c r="I85" i="15"/>
  <c r="I82" i="15"/>
  <c r="I59" i="12"/>
  <c r="I58" i="12"/>
  <c r="I57" i="12"/>
  <c r="I56" i="12"/>
  <c r="I55" i="12"/>
  <c r="J10" i="49" l="1"/>
  <c r="J9" i="49"/>
  <c r="J11" i="11"/>
  <c r="J10" i="11"/>
  <c r="J9" i="11"/>
  <c r="J9" i="9"/>
  <c r="J34" i="12"/>
  <c r="H92" i="12" s="1"/>
  <c r="J11" i="12"/>
  <c r="J9" i="24"/>
  <c r="J9" i="12"/>
  <c r="J10" i="22"/>
  <c r="J11" i="18"/>
  <c r="J44" i="17"/>
  <c r="J23" i="17"/>
  <c r="J12" i="17"/>
  <c r="J11" i="17"/>
  <c r="J9" i="17"/>
  <c r="J9" i="23"/>
  <c r="J9" i="56"/>
  <c r="J9" i="44"/>
  <c r="J12" i="60"/>
  <c r="J11" i="60"/>
  <c r="J10" i="60"/>
  <c r="J8" i="60"/>
  <c r="J16" i="43"/>
  <c r="J14" i="43"/>
  <c r="J15" i="43"/>
  <c r="J25" i="43"/>
  <c r="J12" i="43"/>
  <c r="J10" i="43" l="1"/>
  <c r="J9" i="43"/>
  <c r="J10" i="40"/>
  <c r="J9" i="40"/>
  <c r="J9" i="38"/>
  <c r="J10" i="35"/>
  <c r="J9" i="35"/>
  <c r="J8" i="34"/>
  <c r="J9" i="33"/>
  <c r="J9" i="30"/>
  <c r="J8" i="30"/>
  <c r="C35" i="143" l="1"/>
  <c r="K12" i="66" l="1"/>
  <c r="L12" i="66" s="1"/>
  <c r="O12" i="66" s="1"/>
  <c r="H47" i="26" l="1"/>
  <c r="I11" i="12" l="1"/>
  <c r="I9" i="12"/>
  <c r="I10" i="11"/>
  <c r="I9" i="11"/>
  <c r="I93" i="17"/>
  <c r="J93" i="17" s="1"/>
  <c r="H93" i="17"/>
  <c r="L48" i="15"/>
  <c r="K48" i="15"/>
  <c r="J48" i="15"/>
  <c r="I48" i="15"/>
  <c r="H48" i="15"/>
  <c r="I9" i="43"/>
  <c r="I68" i="38" l="1"/>
  <c r="J68" i="38" s="1"/>
  <c r="H68" i="38"/>
  <c r="I16" i="35" l="1"/>
  <c r="J94" i="43" l="1"/>
  <c r="J92" i="43"/>
  <c r="J88" i="43"/>
  <c r="J197" i="66" l="1"/>
  <c r="B15" i="133"/>
  <c r="K93" i="26" l="1"/>
  <c r="K80" i="26"/>
  <c r="K15" i="66"/>
  <c r="K20" i="66"/>
  <c r="K19" i="66"/>
  <c r="K17" i="66"/>
  <c r="K16" i="66"/>
  <c r="K11" i="66"/>
  <c r="K9" i="66"/>
  <c r="J20" i="66"/>
  <c r="J19" i="66"/>
  <c r="J17" i="66"/>
  <c r="J16" i="66"/>
  <c r="J11" i="66"/>
  <c r="J9" i="66"/>
  <c r="J118" i="66"/>
  <c r="J109" i="66"/>
  <c r="J107" i="66"/>
  <c r="J99" i="66"/>
  <c r="J98" i="66"/>
  <c r="J95" i="66"/>
  <c r="J87" i="66"/>
  <c r="J86" i="66"/>
  <c r="J79" i="66"/>
  <c r="J71" i="66"/>
  <c r="J61" i="66"/>
  <c r="J60" i="66"/>
  <c r="J59" i="66"/>
  <c r="J58" i="66"/>
  <c r="J56" i="66"/>
  <c r="J46" i="66"/>
  <c r="J45" i="66"/>
  <c r="J41" i="66"/>
  <c r="J40" i="66"/>
  <c r="J35" i="66"/>
  <c r="J32" i="66"/>
  <c r="J101" i="66" l="1"/>
  <c r="K97" i="26"/>
  <c r="K73" i="26"/>
  <c r="K94" i="26"/>
  <c r="K96" i="26"/>
  <c r="J206" i="66"/>
  <c r="K100" i="26" l="1"/>
  <c r="K139" i="66" s="1"/>
  <c r="K138" i="66"/>
  <c r="K99" i="26"/>
  <c r="K102" i="26" l="1"/>
  <c r="K137" i="66"/>
  <c r="I81" i="43"/>
  <c r="I80" i="43"/>
  <c r="I79" i="43"/>
  <c r="I78" i="43"/>
  <c r="I72" i="43"/>
  <c r="I77" i="43"/>
  <c r="I76" i="43"/>
  <c r="I75" i="43"/>
  <c r="I74" i="43"/>
  <c r="I73" i="43"/>
  <c r="I71" i="43"/>
  <c r="I70" i="43"/>
  <c r="I69" i="43"/>
  <c r="I68" i="43"/>
  <c r="I67" i="43"/>
  <c r="I54" i="12"/>
  <c r="I36" i="49"/>
  <c r="K35" i="49"/>
  <c r="I61" i="11"/>
  <c r="I60" i="11"/>
  <c r="I59" i="11"/>
  <c r="I58" i="11"/>
  <c r="I57" i="11"/>
  <c r="I56" i="11"/>
  <c r="I55" i="11"/>
  <c r="I54" i="11"/>
  <c r="I52" i="11"/>
  <c r="K51" i="11"/>
  <c r="I32" i="9"/>
  <c r="I46" i="8"/>
  <c r="K45" i="8"/>
  <c r="I72" i="15"/>
  <c r="I71" i="15"/>
  <c r="I70" i="15"/>
  <c r="K69" i="15"/>
  <c r="I42" i="44"/>
  <c r="K41" i="44"/>
  <c r="I39" i="60"/>
  <c r="I37" i="60"/>
  <c r="I36" i="60"/>
  <c r="I66" i="43"/>
  <c r="K65" i="43"/>
  <c r="I83" i="43"/>
  <c r="I38" i="40"/>
  <c r="I37" i="40"/>
  <c r="K36" i="40"/>
  <c r="K43" i="38"/>
  <c r="I46" i="38"/>
  <c r="I47" i="35"/>
  <c r="I45" i="35"/>
  <c r="I43" i="35"/>
  <c r="K41" i="35"/>
  <c r="I48" i="34"/>
  <c r="I47" i="34"/>
  <c r="H49" i="34"/>
  <c r="K31" i="33"/>
  <c r="I43" i="30"/>
  <c r="K42" i="30"/>
  <c r="L14" i="141"/>
  <c r="K14" i="141"/>
  <c r="J14" i="141"/>
  <c r="I14" i="141"/>
  <c r="H14" i="141"/>
  <c r="G14" i="141"/>
  <c r="F14" i="141"/>
  <c r="E14" i="141"/>
  <c r="D14" i="141"/>
  <c r="L13" i="141"/>
  <c r="K13" i="141"/>
  <c r="J13" i="141"/>
  <c r="I13" i="141"/>
  <c r="H13" i="141"/>
  <c r="G13" i="141"/>
  <c r="F13" i="141"/>
  <c r="E13" i="141"/>
  <c r="D13" i="141"/>
  <c r="L12" i="141"/>
  <c r="K12" i="141"/>
  <c r="J12" i="141"/>
  <c r="I12" i="141"/>
  <c r="H12" i="141"/>
  <c r="G12" i="141"/>
  <c r="F12" i="141"/>
  <c r="E12" i="141"/>
  <c r="D12" i="141"/>
  <c r="L10" i="141"/>
  <c r="K10" i="141"/>
  <c r="J10" i="141"/>
  <c r="I10" i="141"/>
  <c r="I11" i="141" s="1"/>
  <c r="H10" i="141"/>
  <c r="G10" i="141"/>
  <c r="F10" i="141"/>
  <c r="E10" i="141"/>
  <c r="D10" i="141"/>
  <c r="L9" i="141"/>
  <c r="K9" i="141"/>
  <c r="J9" i="141"/>
  <c r="I9" i="141"/>
  <c r="H9" i="141"/>
  <c r="G9" i="141"/>
  <c r="F9" i="141"/>
  <c r="E9" i="141"/>
  <c r="D9" i="141"/>
  <c r="L8" i="141"/>
  <c r="K8" i="141"/>
  <c r="J8" i="141"/>
  <c r="I8" i="141"/>
  <c r="H8" i="141"/>
  <c r="G8" i="141"/>
  <c r="F8" i="141"/>
  <c r="E8" i="141"/>
  <c r="D8" i="141"/>
  <c r="L7" i="141"/>
  <c r="K7" i="141"/>
  <c r="J7" i="141"/>
  <c r="I7" i="141"/>
  <c r="H7" i="141"/>
  <c r="G7" i="141"/>
  <c r="F7" i="141"/>
  <c r="E7" i="141"/>
  <c r="D7" i="141"/>
  <c r="L6" i="141"/>
  <c r="K6" i="141"/>
  <c r="J6" i="141"/>
  <c r="I6" i="141"/>
  <c r="H6" i="141"/>
  <c r="G6" i="141"/>
  <c r="F6" i="141"/>
  <c r="E6" i="141"/>
  <c r="D6" i="141"/>
  <c r="L5" i="141"/>
  <c r="K5" i="141"/>
  <c r="J5" i="141"/>
  <c r="I5" i="141"/>
  <c r="H5" i="141"/>
  <c r="G5" i="141"/>
  <c r="F5" i="141"/>
  <c r="E5" i="141"/>
  <c r="D5" i="141"/>
  <c r="L4" i="141"/>
  <c r="K4" i="141"/>
  <c r="J4" i="141"/>
  <c r="I4" i="141"/>
  <c r="H4" i="141"/>
  <c r="G4" i="141"/>
  <c r="F4" i="141"/>
  <c r="E4" i="141"/>
  <c r="D4" i="141"/>
  <c r="C14" i="141"/>
  <c r="C13" i="141"/>
  <c r="C12" i="141"/>
  <c r="C10" i="141"/>
  <c r="C9" i="141"/>
  <c r="C8" i="141"/>
  <c r="C7" i="141"/>
  <c r="C6" i="141"/>
  <c r="C5" i="141"/>
  <c r="C4" i="141"/>
  <c r="L40" i="141"/>
  <c r="K40" i="141"/>
  <c r="J40" i="141"/>
  <c r="I40" i="141"/>
  <c r="H40" i="141"/>
  <c r="G40" i="141"/>
  <c r="F40" i="141"/>
  <c r="E40" i="141"/>
  <c r="D40" i="141"/>
  <c r="C40" i="141"/>
  <c r="B20" i="141"/>
  <c r="B19" i="141"/>
  <c r="B18" i="141"/>
  <c r="L11" i="141"/>
  <c r="K11" i="141"/>
  <c r="J11" i="141"/>
  <c r="H11" i="141"/>
  <c r="G11" i="141"/>
  <c r="L42" i="141"/>
  <c r="K42" i="141"/>
  <c r="J42" i="141"/>
  <c r="I42" i="141"/>
  <c r="H42" i="141"/>
  <c r="G42" i="141"/>
  <c r="F42" i="141"/>
  <c r="E42" i="141"/>
  <c r="D42" i="141"/>
  <c r="C42" i="141"/>
  <c r="L41" i="141"/>
  <c r="K41" i="141"/>
  <c r="J41" i="141"/>
  <c r="I41" i="141"/>
  <c r="H41" i="141"/>
  <c r="G41" i="141"/>
  <c r="F41" i="141"/>
  <c r="E41" i="141"/>
  <c r="D41" i="141"/>
  <c r="C41" i="141"/>
  <c r="L36" i="141" l="1"/>
  <c r="L35" i="141"/>
  <c r="L34" i="141"/>
  <c r="L32" i="141"/>
  <c r="L33" i="141" s="1"/>
  <c r="L31" i="141"/>
  <c r="L30" i="141"/>
  <c r="L29" i="141"/>
  <c r="L28" i="141"/>
  <c r="L27" i="141"/>
  <c r="K36" i="141"/>
  <c r="J36" i="141"/>
  <c r="I36" i="141"/>
  <c r="H36" i="141"/>
  <c r="G36" i="141"/>
  <c r="F36" i="141"/>
  <c r="E36" i="141"/>
  <c r="D36" i="141"/>
  <c r="K35" i="141"/>
  <c r="J35" i="141"/>
  <c r="I35" i="141"/>
  <c r="H35" i="141"/>
  <c r="G35" i="141"/>
  <c r="F35" i="141"/>
  <c r="E35" i="141"/>
  <c r="D35" i="141"/>
  <c r="K34" i="141"/>
  <c r="J34" i="141"/>
  <c r="I34" i="141"/>
  <c r="H34" i="141"/>
  <c r="G34" i="141"/>
  <c r="F34" i="141"/>
  <c r="E34" i="141"/>
  <c r="D34" i="141"/>
  <c r="C36" i="141"/>
  <c r="C35" i="141"/>
  <c r="C34" i="141"/>
  <c r="K31" i="141"/>
  <c r="J31" i="141"/>
  <c r="I31" i="141"/>
  <c r="H31" i="141"/>
  <c r="G31" i="141"/>
  <c r="F31" i="141"/>
  <c r="E31" i="141"/>
  <c r="D31" i="141"/>
  <c r="C31" i="141"/>
  <c r="L26" i="141"/>
  <c r="K30" i="141"/>
  <c r="J30" i="141"/>
  <c r="I30" i="141"/>
  <c r="H30" i="141"/>
  <c r="G30" i="141"/>
  <c r="F30" i="141"/>
  <c r="E30" i="141"/>
  <c r="D30" i="141"/>
  <c r="C30" i="141"/>
  <c r="K29" i="141"/>
  <c r="J29" i="141"/>
  <c r="I29" i="141"/>
  <c r="H29" i="141"/>
  <c r="G29" i="141"/>
  <c r="F29" i="141"/>
  <c r="E29" i="141"/>
  <c r="D29" i="141"/>
  <c r="C29" i="141"/>
  <c r="K28" i="141"/>
  <c r="J28" i="141"/>
  <c r="I28" i="141"/>
  <c r="H28" i="141"/>
  <c r="G28" i="141"/>
  <c r="F28" i="141"/>
  <c r="E28" i="141"/>
  <c r="D28" i="141"/>
  <c r="C28" i="141"/>
  <c r="K27" i="141"/>
  <c r="J27" i="141"/>
  <c r="I27" i="141"/>
  <c r="H27" i="141"/>
  <c r="G27" i="141"/>
  <c r="F27" i="141"/>
  <c r="E27" i="141"/>
  <c r="D27" i="141"/>
  <c r="C27" i="141"/>
  <c r="K26" i="141"/>
  <c r="J26" i="141"/>
  <c r="I26" i="141"/>
  <c r="H26" i="141"/>
  <c r="G26" i="141"/>
  <c r="F26" i="141"/>
  <c r="E26" i="141"/>
  <c r="D26" i="141"/>
  <c r="C26" i="141"/>
  <c r="B10" i="141"/>
  <c r="B7" i="141"/>
  <c r="B6" i="141"/>
  <c r="B14" i="141"/>
  <c r="B13" i="141"/>
  <c r="B12" i="141"/>
  <c r="B9" i="141"/>
  <c r="B8" i="141"/>
  <c r="B5" i="141"/>
  <c r="B4" i="141"/>
  <c r="H10" i="138"/>
  <c r="G10" i="138"/>
  <c r="F10" i="138"/>
  <c r="H9" i="138"/>
  <c r="G9" i="138"/>
  <c r="F9" i="138"/>
  <c r="H7" i="138"/>
  <c r="G7" i="138"/>
  <c r="F7" i="138"/>
  <c r="E7" i="138"/>
  <c r="D7" i="138"/>
  <c r="C7" i="138"/>
  <c r="H6" i="138"/>
  <c r="G6" i="138"/>
  <c r="F6" i="138"/>
  <c r="E6" i="138"/>
  <c r="D6" i="138"/>
  <c r="C6" i="138"/>
  <c r="B7" i="138"/>
  <c r="B6" i="138"/>
  <c r="I6" i="138"/>
  <c r="I7" i="138"/>
  <c r="H20" i="138"/>
  <c r="G20" i="138"/>
  <c r="F20" i="138"/>
  <c r="E20" i="138"/>
  <c r="H19" i="138"/>
  <c r="G19" i="138"/>
  <c r="F19" i="138"/>
  <c r="E19" i="138"/>
  <c r="H17" i="138"/>
  <c r="G17" i="138"/>
  <c r="F17" i="138"/>
  <c r="E17" i="138"/>
  <c r="D17" i="138"/>
  <c r="C17" i="138"/>
  <c r="H16" i="138"/>
  <c r="G16" i="138"/>
  <c r="F16" i="138"/>
  <c r="E16" i="138"/>
  <c r="D16" i="138"/>
  <c r="C16" i="138"/>
  <c r="B17" i="138"/>
  <c r="B16" i="138"/>
  <c r="I10" i="138"/>
  <c r="I9" i="138"/>
  <c r="H9" i="43"/>
  <c r="J16" i="35"/>
  <c r="K48" i="13" l="1"/>
  <c r="K47" i="13"/>
  <c r="K46" i="13"/>
  <c r="J48" i="13"/>
  <c r="J47" i="13"/>
  <c r="J46" i="13"/>
  <c r="J45" i="13"/>
  <c r="G21" i="2"/>
  <c r="I21" i="2" s="1"/>
  <c r="G18" i="2"/>
  <c r="G16" i="2"/>
  <c r="G13" i="2"/>
  <c r="G11" i="2"/>
  <c r="G10" i="2"/>
  <c r="H32" i="4"/>
  <c r="H31" i="4"/>
  <c r="H30" i="4"/>
  <c r="H29" i="4"/>
  <c r="H28" i="4"/>
  <c r="H27" i="4"/>
  <c r="J15" i="4"/>
  <c r="J18" i="4" s="1"/>
  <c r="J59" i="6"/>
  <c r="J56" i="6"/>
  <c r="J29" i="6"/>
  <c r="L59" i="6"/>
  <c r="L54" i="6"/>
  <c r="L53" i="6"/>
  <c r="L52" i="6"/>
  <c r="L51" i="6"/>
  <c r="L50" i="6"/>
  <c r="L49" i="6"/>
  <c r="L48" i="6"/>
  <c r="L45" i="6"/>
  <c r="L44" i="6"/>
  <c r="L43" i="6"/>
  <c r="L35" i="6"/>
  <c r="L34" i="6"/>
  <c r="L33" i="6"/>
  <c r="L27" i="6"/>
  <c r="L25" i="6"/>
  <c r="L24" i="6"/>
  <c r="L23" i="6"/>
  <c r="L22" i="6"/>
  <c r="L21" i="6"/>
  <c r="L20" i="6"/>
  <c r="L19" i="6"/>
  <c r="L18" i="6"/>
  <c r="L17" i="6"/>
  <c r="L12" i="6"/>
  <c r="L11" i="6"/>
  <c r="L10" i="6"/>
  <c r="L9" i="6"/>
  <c r="M29" i="6"/>
  <c r="M59" i="6"/>
  <c r="J25" i="5"/>
  <c r="J22" i="5"/>
  <c r="J27" i="5" s="1"/>
  <c r="J12" i="5"/>
  <c r="H46" i="5"/>
  <c r="H44" i="5"/>
  <c r="H43" i="5"/>
  <c r="H42" i="5"/>
  <c r="H41" i="5"/>
  <c r="H40" i="5"/>
  <c r="H39" i="5"/>
  <c r="H38" i="5"/>
  <c r="H37" i="5"/>
  <c r="H36" i="5"/>
  <c r="H35" i="5"/>
  <c r="H34" i="5"/>
  <c r="J41" i="12"/>
  <c r="J19" i="12"/>
  <c r="J14" i="12"/>
  <c r="H70" i="12"/>
  <c r="H90" i="12"/>
  <c r="H89" i="12"/>
  <c r="H88" i="12"/>
  <c r="H87" i="12"/>
  <c r="H86" i="12"/>
  <c r="H85" i="12"/>
  <c r="H84" i="12"/>
  <c r="H83" i="12"/>
  <c r="H82" i="12"/>
  <c r="H81" i="12"/>
  <c r="H80" i="12"/>
  <c r="H79" i="12"/>
  <c r="H78" i="12"/>
  <c r="H77" i="12"/>
  <c r="H76" i="12"/>
  <c r="H75" i="12"/>
  <c r="H74" i="12"/>
  <c r="H73" i="12"/>
  <c r="H72" i="12"/>
  <c r="H71" i="12"/>
  <c r="H79" i="24"/>
  <c r="H78" i="24"/>
  <c r="H77" i="24"/>
  <c r="H76" i="24"/>
  <c r="H75" i="24"/>
  <c r="H74" i="24"/>
  <c r="H73" i="24"/>
  <c r="H72" i="24"/>
  <c r="H71" i="24"/>
  <c r="H70" i="24"/>
  <c r="H69" i="24"/>
  <c r="H68" i="24"/>
  <c r="H67" i="24"/>
  <c r="H66" i="24"/>
  <c r="H65" i="24"/>
  <c r="H64" i="24"/>
  <c r="H63" i="24"/>
  <c r="H62" i="24"/>
  <c r="H61" i="24"/>
  <c r="H60" i="24"/>
  <c r="H59" i="24"/>
  <c r="H58" i="24"/>
  <c r="H57" i="24"/>
  <c r="H56" i="24"/>
  <c r="J35" i="24"/>
  <c r="J13" i="24"/>
  <c r="H49" i="93"/>
  <c r="H48" i="93"/>
  <c r="H47" i="93"/>
  <c r="H46" i="93"/>
  <c r="H45" i="93"/>
  <c r="H44" i="93"/>
  <c r="H43" i="93"/>
  <c r="H42" i="93"/>
  <c r="H41" i="93"/>
  <c r="H40" i="93"/>
  <c r="H39" i="93"/>
  <c r="H38" i="93"/>
  <c r="H37" i="93"/>
  <c r="H36" i="93"/>
  <c r="I48" i="93"/>
  <c r="I47" i="93"/>
  <c r="I45" i="93"/>
  <c r="I44" i="93"/>
  <c r="I43" i="93"/>
  <c r="I42" i="93"/>
  <c r="I41" i="93"/>
  <c r="I40" i="93"/>
  <c r="I39" i="93"/>
  <c r="I38" i="93"/>
  <c r="I37" i="93"/>
  <c r="I36" i="93"/>
  <c r="L24" i="93"/>
  <c r="L23" i="93"/>
  <c r="L22" i="93"/>
  <c r="I46" i="93" s="1"/>
  <c r="L20" i="93"/>
  <c r="J26" i="93"/>
  <c r="J20" i="93"/>
  <c r="H29" i="54"/>
  <c r="J20" i="54"/>
  <c r="J22" i="54" s="1"/>
  <c r="J18" i="53"/>
  <c r="J20" i="53" s="1"/>
  <c r="H34" i="53"/>
  <c r="H33" i="53"/>
  <c r="H32" i="53"/>
  <c r="H31" i="53"/>
  <c r="H30" i="53"/>
  <c r="H29" i="53"/>
  <c r="H28" i="53"/>
  <c r="J15" i="52"/>
  <c r="L57" i="51"/>
  <c r="L49" i="51"/>
  <c r="L48" i="51"/>
  <c r="L47" i="51"/>
  <c r="L46" i="51"/>
  <c r="L45" i="51"/>
  <c r="L44" i="51"/>
  <c r="L43" i="51"/>
  <c r="L42" i="51"/>
  <c r="L32" i="51"/>
  <c r="L26" i="51"/>
  <c r="L25" i="51"/>
  <c r="L24" i="51"/>
  <c r="L23" i="51"/>
  <c r="L22" i="51"/>
  <c r="L21" i="51"/>
  <c r="L20" i="51"/>
  <c r="L19" i="51"/>
  <c r="L18" i="51"/>
  <c r="L17" i="51"/>
  <c r="L12" i="51"/>
  <c r="L10" i="51"/>
  <c r="M29" i="51"/>
  <c r="M52" i="51"/>
  <c r="M57" i="51"/>
  <c r="J57" i="51"/>
  <c r="J52" i="51"/>
  <c r="J29" i="51"/>
  <c r="H21" i="50"/>
  <c r="H20" i="50"/>
  <c r="J11" i="50"/>
  <c r="J14" i="50" s="1"/>
  <c r="J12" i="135"/>
  <c r="J15" i="135" s="1"/>
  <c r="J25" i="49"/>
  <c r="J15" i="49"/>
  <c r="J11" i="49"/>
  <c r="H43" i="49"/>
  <c r="H47" i="49"/>
  <c r="H46" i="49"/>
  <c r="H45" i="49"/>
  <c r="H44" i="49"/>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J40" i="11"/>
  <c r="J37" i="11"/>
  <c r="J15" i="11"/>
  <c r="J12" i="10"/>
  <c r="J15" i="10" s="1"/>
  <c r="H24" i="10"/>
  <c r="H23" i="10"/>
  <c r="H22" i="10"/>
  <c r="H50" i="9"/>
  <c r="H49" i="9"/>
  <c r="H48" i="9"/>
  <c r="H47" i="9"/>
  <c r="H46" i="9"/>
  <c r="H45" i="9"/>
  <c r="H44" i="9"/>
  <c r="H43" i="9"/>
  <c r="H42" i="9"/>
  <c r="H41" i="9"/>
  <c r="H40" i="9"/>
  <c r="H39" i="9"/>
  <c r="H38" i="9"/>
  <c r="J24" i="9"/>
  <c r="J11" i="9"/>
  <c r="H64" i="8"/>
  <c r="K64" i="8" s="1"/>
  <c r="J64" i="8"/>
  <c r="K63" i="8"/>
  <c r="J63" i="8"/>
  <c r="K61" i="8"/>
  <c r="J61" i="8"/>
  <c r="J60" i="8"/>
  <c r="K60" i="8" s="1"/>
  <c r="K59" i="8"/>
  <c r="J59" i="8"/>
  <c r="H77" i="8"/>
  <c r="H76" i="8"/>
  <c r="H75" i="8"/>
  <c r="H74" i="8"/>
  <c r="H79" i="8" s="1"/>
  <c r="H73" i="8"/>
  <c r="H72" i="8"/>
  <c r="H71" i="8"/>
  <c r="H70" i="8"/>
  <c r="H69" i="8"/>
  <c r="H68" i="8"/>
  <c r="H67" i="8"/>
  <c r="H66" i="8"/>
  <c r="H65" i="8"/>
  <c r="H63" i="8"/>
  <c r="H62" i="8"/>
  <c r="H61" i="8"/>
  <c r="H60" i="8"/>
  <c r="H59" i="8"/>
  <c r="H58" i="8"/>
  <c r="H57" i="8"/>
  <c r="H56" i="8"/>
  <c r="H55" i="8"/>
  <c r="H54" i="8"/>
  <c r="J36" i="8"/>
  <c r="J22" i="8"/>
  <c r="H23" i="7"/>
  <c r="J15" i="7"/>
  <c r="J17" i="7" s="1"/>
  <c r="J12" i="7"/>
  <c r="H44" i="22"/>
  <c r="H43" i="22"/>
  <c r="H42" i="22"/>
  <c r="H41" i="22"/>
  <c r="H40" i="22"/>
  <c r="H39" i="22"/>
  <c r="H38" i="22"/>
  <c r="H37" i="22"/>
  <c r="H36" i="22"/>
  <c r="H35" i="22"/>
  <c r="H34" i="22"/>
  <c r="H33" i="22"/>
  <c r="J24" i="22"/>
  <c r="J13" i="22"/>
  <c r="H32" i="18"/>
  <c r="H31" i="18"/>
  <c r="H30" i="18"/>
  <c r="H29" i="18"/>
  <c r="H28" i="18"/>
  <c r="H27" i="18"/>
  <c r="H26" i="18"/>
  <c r="J18" i="18"/>
  <c r="J12" i="18"/>
  <c r="J57" i="15"/>
  <c r="J58" i="15" s="1"/>
  <c r="J67" i="66" s="1"/>
  <c r="J53" i="15"/>
  <c r="J52" i="15"/>
  <c r="J51" i="15"/>
  <c r="J50" i="15"/>
  <c r="J49"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6" i="15"/>
  <c r="J15" i="15"/>
  <c r="J14" i="15"/>
  <c r="J13" i="15"/>
  <c r="J12" i="15"/>
  <c r="J11" i="15"/>
  <c r="J10" i="15"/>
  <c r="J9" i="15"/>
  <c r="H29" i="23"/>
  <c r="H28" i="23"/>
  <c r="H27" i="23"/>
  <c r="H26" i="23"/>
  <c r="H25" i="23"/>
  <c r="J17" i="23"/>
  <c r="J13" i="23"/>
  <c r="J19" i="23" s="1"/>
  <c r="H98" i="17"/>
  <c r="H97" i="17"/>
  <c r="H96" i="17"/>
  <c r="H95" i="17"/>
  <c r="H94"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J52" i="17"/>
  <c r="J49" i="17"/>
  <c r="J16" i="17"/>
  <c r="H40" i="56"/>
  <c r="H39" i="56"/>
  <c r="H38" i="56"/>
  <c r="H37" i="56"/>
  <c r="H36" i="56"/>
  <c r="H35" i="56"/>
  <c r="H34" i="56"/>
  <c r="H33" i="56"/>
  <c r="H32" i="56"/>
  <c r="H31" i="56"/>
  <c r="J21" i="56"/>
  <c r="J12" i="56"/>
  <c r="J14" i="13"/>
  <c r="J9" i="13"/>
  <c r="J11" i="13" s="1"/>
  <c r="J117" i="66" s="1"/>
  <c r="J17" i="86"/>
  <c r="J19" i="86" s="1"/>
  <c r="J10" i="86"/>
  <c r="H30" i="86"/>
  <c r="H29" i="86"/>
  <c r="H28" i="86"/>
  <c r="H27" i="86"/>
  <c r="H26" i="86"/>
  <c r="H25" i="86"/>
  <c r="J10" i="48"/>
  <c r="J12" i="48" s="1"/>
  <c r="H18" i="48"/>
  <c r="H35" i="47"/>
  <c r="J19" i="47"/>
  <c r="J21" i="47" s="1"/>
  <c r="J16" i="47"/>
  <c r="H34" i="47"/>
  <c r="H33" i="47"/>
  <c r="H32" i="47"/>
  <c r="H31" i="47"/>
  <c r="H30" i="47"/>
  <c r="H28" i="47"/>
  <c r="H23" i="46"/>
  <c r="J14" i="46"/>
  <c r="J16" i="46" s="1"/>
  <c r="J10" i="46"/>
  <c r="J10" i="45"/>
  <c r="J12" i="45" s="1"/>
  <c r="H65" i="44"/>
  <c r="H64" i="44"/>
  <c r="H63" i="44"/>
  <c r="H62" i="44"/>
  <c r="H61" i="44"/>
  <c r="H60" i="44"/>
  <c r="H59" i="44"/>
  <c r="H58" i="44"/>
  <c r="H57" i="44"/>
  <c r="H56" i="44"/>
  <c r="H55" i="44"/>
  <c r="H54" i="44"/>
  <c r="H53" i="44"/>
  <c r="H52" i="44"/>
  <c r="H51" i="44"/>
  <c r="H50" i="44"/>
  <c r="H49" i="44"/>
  <c r="H48" i="44"/>
  <c r="J32" i="44"/>
  <c r="J19" i="44"/>
  <c r="H59" i="60"/>
  <c r="H58" i="60"/>
  <c r="H57" i="60"/>
  <c r="H56" i="60"/>
  <c r="H55" i="60"/>
  <c r="H61" i="60" s="1"/>
  <c r="H54" i="60"/>
  <c r="H53" i="60"/>
  <c r="H52" i="60"/>
  <c r="H51" i="60"/>
  <c r="H50" i="60"/>
  <c r="H49" i="60"/>
  <c r="H48" i="60"/>
  <c r="H47" i="60"/>
  <c r="H46" i="60"/>
  <c r="J24" i="60"/>
  <c r="J19" i="60"/>
  <c r="H142" i="43"/>
  <c r="H141" i="43"/>
  <c r="H140" i="43"/>
  <c r="H139" i="43"/>
  <c r="H138" i="43"/>
  <c r="H136" i="43"/>
  <c r="H135" i="43"/>
  <c r="H134" i="43"/>
  <c r="H133" i="43"/>
  <c r="H132" i="43"/>
  <c r="H131" i="43"/>
  <c r="H128" i="43"/>
  <c r="H127" i="43"/>
  <c r="H126" i="43"/>
  <c r="H125" i="43"/>
  <c r="H124" i="43"/>
  <c r="H123" i="43"/>
  <c r="H122" i="43"/>
  <c r="H121" i="43"/>
  <c r="H120" i="43"/>
  <c r="H119" i="43"/>
  <c r="H118" i="43"/>
  <c r="H117" i="43"/>
  <c r="H116" i="43"/>
  <c r="H115" i="43"/>
  <c r="H114" i="43"/>
  <c r="H113" i="43"/>
  <c r="H112" i="43"/>
  <c r="H111" i="43"/>
  <c r="H110" i="43"/>
  <c r="H109" i="43"/>
  <c r="H108" i="43"/>
  <c r="H107" i="43"/>
  <c r="H106" i="43"/>
  <c r="H105" i="43"/>
  <c r="H104" i="43"/>
  <c r="H103" i="43"/>
  <c r="H102" i="43"/>
  <c r="H101" i="43"/>
  <c r="H100" i="43"/>
  <c r="H144" i="43" s="1"/>
  <c r="J56" i="43"/>
  <c r="J48" i="43"/>
  <c r="H137" i="43" s="1"/>
  <c r="J28" i="43"/>
  <c r="J73" i="87"/>
  <c r="K73" i="87" s="1"/>
  <c r="K70" i="87"/>
  <c r="J70" i="87"/>
  <c r="J69" i="87"/>
  <c r="K69" i="87" s="1"/>
  <c r="J67" i="87"/>
  <c r="K67" i="87" s="1"/>
  <c r="K66" i="87"/>
  <c r="J66" i="87"/>
  <c r="K64" i="87"/>
  <c r="J64" i="87"/>
  <c r="K63" i="87"/>
  <c r="J63" i="87"/>
  <c r="K62" i="87"/>
  <c r="J62" i="87"/>
  <c r="J61" i="87"/>
  <c r="K61" i="87" s="1"/>
  <c r="K60" i="87"/>
  <c r="J60" i="87"/>
  <c r="J59" i="87"/>
  <c r="K59" i="87" s="1"/>
  <c r="K58" i="87"/>
  <c r="J58" i="87"/>
  <c r="J57" i="87"/>
  <c r="K57" i="87" s="1"/>
  <c r="J51" i="87"/>
  <c r="K51" i="87" s="1"/>
  <c r="H73" i="87"/>
  <c r="H72" i="87"/>
  <c r="H75" i="87" s="1"/>
  <c r="H71" i="87"/>
  <c r="H70" i="87"/>
  <c r="H69" i="87"/>
  <c r="H68" i="87"/>
  <c r="H67" i="87"/>
  <c r="H66" i="87"/>
  <c r="H65" i="87"/>
  <c r="H64" i="87"/>
  <c r="H63" i="87"/>
  <c r="H62" i="87"/>
  <c r="H61" i="87"/>
  <c r="H60" i="87"/>
  <c r="H59" i="87"/>
  <c r="H58" i="87"/>
  <c r="H57" i="87"/>
  <c r="H56" i="87"/>
  <c r="H55" i="87"/>
  <c r="H54" i="87"/>
  <c r="H53" i="87"/>
  <c r="H52" i="87"/>
  <c r="H51" i="87"/>
  <c r="H50" i="87"/>
  <c r="H49" i="87"/>
  <c r="J39" i="87"/>
  <c r="J41" i="87" s="1"/>
  <c r="H28" i="139"/>
  <c r="J14" i="139"/>
  <c r="J17" i="139" s="1"/>
  <c r="J15" i="41"/>
  <c r="J18" i="41" s="1"/>
  <c r="H29" i="41"/>
  <c r="H28" i="41"/>
  <c r="H27" i="41"/>
  <c r="H26" i="41"/>
  <c r="H25" i="41"/>
  <c r="H24" i="41"/>
  <c r="I68" i="40"/>
  <c r="H68" i="40"/>
  <c r="I67" i="40"/>
  <c r="H67" i="40"/>
  <c r="I66" i="40"/>
  <c r="H66" i="40"/>
  <c r="I65" i="40"/>
  <c r="H65" i="40"/>
  <c r="I64" i="40"/>
  <c r="H64" i="40"/>
  <c r="I63" i="40"/>
  <c r="H63" i="40"/>
  <c r="I62" i="40"/>
  <c r="H62" i="40"/>
  <c r="I61" i="40"/>
  <c r="H61" i="40"/>
  <c r="H60" i="40"/>
  <c r="H59" i="40"/>
  <c r="H58" i="40"/>
  <c r="H57" i="40"/>
  <c r="H56" i="40"/>
  <c r="H55" i="40"/>
  <c r="H54" i="40"/>
  <c r="H53" i="40"/>
  <c r="H52" i="40"/>
  <c r="J28" i="40"/>
  <c r="J12" i="40"/>
  <c r="H74" i="38"/>
  <c r="H73" i="38"/>
  <c r="H72" i="38"/>
  <c r="H71" i="38"/>
  <c r="H70" i="38"/>
  <c r="H69" i="38"/>
  <c r="H67" i="38"/>
  <c r="H66" i="38"/>
  <c r="H65" i="38"/>
  <c r="H64" i="38"/>
  <c r="H63" i="38"/>
  <c r="H62" i="38"/>
  <c r="H61" i="38"/>
  <c r="H60" i="38"/>
  <c r="H59" i="38"/>
  <c r="H58" i="38"/>
  <c r="H57" i="38"/>
  <c r="H56" i="38"/>
  <c r="H55" i="38"/>
  <c r="H54" i="38"/>
  <c r="J34" i="38"/>
  <c r="J17" i="38"/>
  <c r="H39" i="77"/>
  <c r="H38" i="77"/>
  <c r="H37" i="77"/>
  <c r="H36" i="77"/>
  <c r="H35" i="77"/>
  <c r="H34" i="77"/>
  <c r="H33" i="77"/>
  <c r="H32" i="77"/>
  <c r="H31" i="77"/>
  <c r="H30" i="77"/>
  <c r="H29" i="77"/>
  <c r="J21" i="77"/>
  <c r="J23" i="77" s="1"/>
  <c r="J42" i="66" s="1"/>
  <c r="H39" i="149"/>
  <c r="H38" i="149"/>
  <c r="H37" i="149"/>
  <c r="H36" i="149"/>
  <c r="H35" i="149"/>
  <c r="H34" i="149"/>
  <c r="H33" i="149"/>
  <c r="H32" i="149"/>
  <c r="J21" i="149"/>
  <c r="J23" i="149" s="1"/>
  <c r="J11" i="149"/>
  <c r="J12" i="36"/>
  <c r="J15" i="36" s="1"/>
  <c r="H22" i="36"/>
  <c r="H21" i="36"/>
  <c r="H75" i="35"/>
  <c r="H74" i="35"/>
  <c r="H73" i="35"/>
  <c r="H72" i="35"/>
  <c r="H71" i="35"/>
  <c r="H70" i="35"/>
  <c r="H69" i="35"/>
  <c r="H68" i="35"/>
  <c r="H67" i="35"/>
  <c r="H66" i="35"/>
  <c r="H65" i="35"/>
  <c r="H64" i="35"/>
  <c r="H63" i="35"/>
  <c r="H59" i="35"/>
  <c r="H58" i="35"/>
  <c r="H57" i="35"/>
  <c r="H56" i="35"/>
  <c r="J31" i="35"/>
  <c r="J39" i="34"/>
  <c r="J38" i="66" s="1"/>
  <c r="J36" i="34"/>
  <c r="J16" i="34"/>
  <c r="H99" i="12" l="1"/>
  <c r="J119" i="66"/>
  <c r="H81" i="24"/>
  <c r="J38" i="8"/>
  <c r="H29" i="129"/>
  <c r="J57" i="66"/>
  <c r="H20" i="129"/>
  <c r="J47" i="66"/>
  <c r="H70" i="40"/>
  <c r="H77" i="35"/>
  <c r="J53" i="66"/>
  <c r="H25" i="129"/>
  <c r="J42" i="11"/>
  <c r="J20" i="18"/>
  <c r="J68" i="66" s="1"/>
  <c r="J54" i="17"/>
  <c r="J17" i="15"/>
  <c r="J55" i="15"/>
  <c r="J53" i="43"/>
  <c r="J58" i="43" s="1"/>
  <c r="J19" i="13"/>
  <c r="J61" i="6"/>
  <c r="J108" i="66" s="1"/>
  <c r="J43" i="12"/>
  <c r="J106" i="66" s="1"/>
  <c r="J37" i="24"/>
  <c r="J114" i="66" s="1"/>
  <c r="J30" i="93"/>
  <c r="J60" i="51"/>
  <c r="J13" i="49"/>
  <c r="J27" i="49" s="1"/>
  <c r="J26" i="9"/>
  <c r="J78" i="66" s="1"/>
  <c r="J26" i="22"/>
  <c r="J69" i="66" s="1"/>
  <c r="J23" i="56"/>
  <c r="J34" i="44"/>
  <c r="J55" i="66" s="1"/>
  <c r="J26" i="60"/>
  <c r="J30" i="40"/>
  <c r="J36" i="38"/>
  <c r="J33" i="35"/>
  <c r="J41" i="34"/>
  <c r="H48" i="33"/>
  <c r="H47" i="33"/>
  <c r="H46" i="33"/>
  <c r="H45" i="33"/>
  <c r="H44" i="33"/>
  <c r="H43" i="33"/>
  <c r="H42" i="33"/>
  <c r="H50" i="33" s="1"/>
  <c r="H41" i="33"/>
  <c r="H40" i="33"/>
  <c r="H39" i="33"/>
  <c r="H38" i="33"/>
  <c r="H36" i="33"/>
  <c r="J24" i="33"/>
  <c r="J11" i="33"/>
  <c r="J11" i="32"/>
  <c r="J14" i="32" s="1"/>
  <c r="J15" i="31"/>
  <c r="J18" i="31" s="1"/>
  <c r="K66" i="30"/>
  <c r="K65" i="30"/>
  <c r="K63" i="30"/>
  <c r="K62" i="30"/>
  <c r="K61" i="30"/>
  <c r="K60" i="30"/>
  <c r="K59" i="30"/>
  <c r="J66" i="30"/>
  <c r="J65" i="30"/>
  <c r="J63" i="30"/>
  <c r="J62" i="30"/>
  <c r="J61" i="30"/>
  <c r="J60" i="30"/>
  <c r="J59" i="30"/>
  <c r="H67" i="30"/>
  <c r="H66" i="30"/>
  <c r="H65" i="30"/>
  <c r="H64" i="30"/>
  <c r="H63" i="30"/>
  <c r="H62" i="30"/>
  <c r="H61" i="30"/>
  <c r="H60" i="30"/>
  <c r="H59" i="30"/>
  <c r="H58" i="30"/>
  <c r="H69" i="30" s="1"/>
  <c r="H57" i="30"/>
  <c r="H56" i="30"/>
  <c r="H55" i="30"/>
  <c r="H54" i="30"/>
  <c r="H53" i="30"/>
  <c r="H52" i="30"/>
  <c r="H51" i="30"/>
  <c r="H50" i="30"/>
  <c r="H49" i="30"/>
  <c r="J34" i="30"/>
  <c r="J19" i="30"/>
  <c r="J21" i="29"/>
  <c r="J23" i="29" s="1"/>
  <c r="J10" i="29"/>
  <c r="H8" i="129" l="1"/>
  <c r="J34" i="66"/>
  <c r="H59" i="129"/>
  <c r="J92" i="66"/>
  <c r="H46" i="129"/>
  <c r="J77" i="66"/>
  <c r="J81" i="66" s="1"/>
  <c r="J54" i="66"/>
  <c r="H26" i="129"/>
  <c r="J85" i="66"/>
  <c r="H53" i="129"/>
  <c r="J26" i="33"/>
  <c r="J52" i="66"/>
  <c r="H24" i="129"/>
  <c r="H33" i="129" s="1"/>
  <c r="J44" i="66"/>
  <c r="H17" i="129"/>
  <c r="J43" i="66"/>
  <c r="H16" i="129"/>
  <c r="J39" i="66"/>
  <c r="H12" i="129"/>
  <c r="J37" i="66"/>
  <c r="H11" i="129"/>
  <c r="J84" i="66"/>
  <c r="J89" i="66" s="1"/>
  <c r="H52" i="129"/>
  <c r="J36" i="66"/>
  <c r="H10" i="129"/>
  <c r="J111" i="66"/>
  <c r="J60" i="15"/>
  <c r="J66" i="66"/>
  <c r="J73" i="66" s="1"/>
  <c r="J36" i="30"/>
  <c r="J63" i="66" l="1"/>
  <c r="J33" i="66"/>
  <c r="J49" i="66" s="1"/>
  <c r="J103" i="66" s="1"/>
  <c r="H7" i="129"/>
  <c r="I21" i="66"/>
  <c r="I22" i="66"/>
  <c r="J71" i="26"/>
  <c r="J15" i="66" s="1"/>
  <c r="J123" i="66" l="1"/>
  <c r="J208" i="66" s="1"/>
  <c r="J213" i="66" s="1"/>
  <c r="N152" i="66"/>
  <c r="N146" i="66"/>
  <c r="N158" i="66" l="1"/>
  <c r="N157" i="66"/>
  <c r="N156" i="66"/>
  <c r="N143" i="66"/>
  <c r="N159" i="66" l="1"/>
  <c r="N145" i="66"/>
  <c r="N160" i="66"/>
  <c r="N150" i="66"/>
  <c r="N144" i="66"/>
  <c r="L15" i="49"/>
  <c r="I73" i="34" l="1"/>
  <c r="J73" i="34" l="1"/>
  <c r="K73" i="34" s="1"/>
  <c r="J19" i="26" l="1"/>
  <c r="K7" i="66" l="1"/>
  <c r="B11" i="133"/>
  <c r="I30" i="15"/>
  <c r="O47" i="6" l="1"/>
  <c r="L47" i="6" s="1"/>
  <c r="Q47" i="6"/>
  <c r="R47" i="6"/>
  <c r="S47" i="6"/>
  <c r="T47" i="6"/>
  <c r="U47" i="6"/>
  <c r="V47" i="6"/>
  <c r="W47" i="6"/>
  <c r="X47" i="6"/>
  <c r="Y47" i="6"/>
  <c r="Z47" i="6"/>
  <c r="AA47" i="6"/>
  <c r="AB47" i="6"/>
  <c r="AC47" i="6"/>
  <c r="AD47" i="6"/>
  <c r="AE47" i="6"/>
  <c r="AF47" i="6"/>
  <c r="AF46" i="6"/>
  <c r="AE46" i="6"/>
  <c r="AD46" i="6"/>
  <c r="AC46" i="6"/>
  <c r="AB46" i="6"/>
  <c r="AA46" i="6"/>
  <c r="Z46" i="6"/>
  <c r="Y46" i="6"/>
  <c r="X46" i="6"/>
  <c r="W46" i="6"/>
  <c r="V46" i="6"/>
  <c r="U46" i="6"/>
  <c r="T46" i="6"/>
  <c r="S46" i="6"/>
  <c r="R46" i="6"/>
  <c r="Q46" i="6"/>
  <c r="O46" i="6"/>
  <c r="L46" i="6" s="1"/>
  <c r="I65" i="8" l="1"/>
  <c r="I64" i="8"/>
  <c r="K22" i="8"/>
  <c r="I22" i="8"/>
  <c r="H22" i="8"/>
  <c r="G22" i="8"/>
  <c r="I50" i="87"/>
  <c r="I51" i="87"/>
  <c r="I52" i="87"/>
  <c r="I53" i="87"/>
  <c r="J53" i="87" s="1"/>
  <c r="K53" i="87" s="1"/>
  <c r="I54" i="87"/>
  <c r="I55" i="87"/>
  <c r="J55" i="87" s="1"/>
  <c r="K55" i="87" s="1"/>
  <c r="I56" i="87"/>
  <c r="I57" i="87"/>
  <c r="I58" i="87"/>
  <c r="I59" i="87"/>
  <c r="I60" i="87"/>
  <c r="I61" i="87"/>
  <c r="I62" i="87"/>
  <c r="I63" i="87"/>
  <c r="I64" i="87"/>
  <c r="I65" i="87"/>
  <c r="J65" i="87" s="1"/>
  <c r="K65" i="87" s="1"/>
  <c r="I66" i="87"/>
  <c r="I67" i="87"/>
  <c r="I68" i="87"/>
  <c r="I69" i="87"/>
  <c r="I70" i="87"/>
  <c r="I71" i="87"/>
  <c r="J71" i="87" s="1"/>
  <c r="K71" i="87" s="1"/>
  <c r="I72" i="87"/>
  <c r="I73" i="87"/>
  <c r="I75" i="87" l="1"/>
  <c r="J75" i="87" s="1"/>
  <c r="K75" i="87" s="1"/>
  <c r="J72" i="87"/>
  <c r="K72" i="87"/>
  <c r="J68" i="87"/>
  <c r="K68" i="87" s="1"/>
  <c r="J56" i="87"/>
  <c r="K56" i="87" s="1"/>
  <c r="J54" i="87"/>
  <c r="K54" i="87"/>
  <c r="K52" i="87"/>
  <c r="J52" i="87"/>
  <c r="J50" i="87"/>
  <c r="K50" i="87" s="1"/>
  <c r="J65" i="8"/>
  <c r="K65" i="8" s="1"/>
  <c r="I35" i="47" l="1"/>
  <c r="C14" i="139"/>
  <c r="D14" i="139"/>
  <c r="D17" i="139" s="1"/>
  <c r="E14" i="139"/>
  <c r="E17" i="139" s="1"/>
  <c r="F14" i="139"/>
  <c r="G14" i="139"/>
  <c r="H14" i="139"/>
  <c r="H17" i="139" s="1"/>
  <c r="G19" i="129" s="1"/>
  <c r="I14" i="139"/>
  <c r="I17" i="139" s="1"/>
  <c r="K14" i="139"/>
  <c r="L14" i="139"/>
  <c r="M14" i="139"/>
  <c r="C17" i="139"/>
  <c r="F17" i="139"/>
  <c r="G17" i="139"/>
  <c r="K17" i="139"/>
  <c r="M17" i="139"/>
  <c r="I28" i="139"/>
  <c r="J28" i="139"/>
  <c r="K28" i="139" l="1"/>
  <c r="N161" i="66" l="1"/>
  <c r="I85" i="11" l="1"/>
  <c r="I78" i="11"/>
  <c r="J78" i="11" s="1"/>
  <c r="I121" i="43"/>
  <c r="K78" i="11" l="1"/>
  <c r="K81" i="43"/>
  <c r="D47" i="137" s="1"/>
  <c r="K87" i="43" l="1"/>
  <c r="I71" i="8"/>
  <c r="I17" i="38"/>
  <c r="H17" i="38"/>
  <c r="G17" i="38"/>
  <c r="K17" i="38"/>
  <c r="K16" i="35"/>
  <c r="J71" i="8" l="1"/>
  <c r="K71" i="8" s="1"/>
  <c r="I54" i="49"/>
  <c r="I53" i="49"/>
  <c r="I52" i="49"/>
  <c r="K52" i="49"/>
  <c r="I51" i="49"/>
  <c r="I50" i="49"/>
  <c r="I56" i="49" s="1"/>
  <c r="I49" i="49"/>
  <c r="I48" i="49"/>
  <c r="J56" i="49" l="1"/>
  <c r="K56" i="49"/>
  <c r="I79" i="24"/>
  <c r="I78" i="24"/>
  <c r="I77" i="24"/>
  <c r="I76" i="24"/>
  <c r="I75" i="24"/>
  <c r="I74" i="24"/>
  <c r="I73" i="24"/>
  <c r="I72" i="24"/>
  <c r="I71" i="24"/>
  <c r="I70" i="24"/>
  <c r="I69" i="24"/>
  <c r="I68" i="24"/>
  <c r="I67" i="24"/>
  <c r="I66" i="24"/>
  <c r="I65" i="24"/>
  <c r="I64" i="24"/>
  <c r="I63" i="24"/>
  <c r="I62" i="24"/>
  <c r="I61" i="24"/>
  <c r="I81" i="24" s="1"/>
  <c r="J81" i="24" s="1"/>
  <c r="K81" i="24" s="1"/>
  <c r="I60" i="24"/>
  <c r="I59" i="24"/>
  <c r="I41" i="22" l="1"/>
  <c r="L49" i="17"/>
  <c r="J41" i="22" l="1"/>
  <c r="K41" i="22" s="1"/>
  <c r="H26" i="17" l="1"/>
  <c r="G26" i="17"/>
  <c r="I77" i="17"/>
  <c r="K30" i="15"/>
  <c r="L30" i="15"/>
  <c r="J77" i="17" l="1"/>
  <c r="K77" i="17" s="1"/>
  <c r="G47" i="26" l="1"/>
  <c r="I67" i="66"/>
  <c r="K46" i="38"/>
  <c r="J93" i="26"/>
  <c r="J94" i="26" l="1"/>
  <c r="J40" i="26"/>
  <c r="J96" i="26"/>
  <c r="J97" i="26"/>
  <c r="L22" i="5"/>
  <c r="L12" i="5"/>
  <c r="L12" i="18"/>
  <c r="L48" i="43"/>
  <c r="J100" i="26" l="1"/>
  <c r="J99" i="26"/>
  <c r="L137" i="66" s="1"/>
  <c r="J102" i="26" l="1"/>
  <c r="I206" i="66"/>
  <c r="K58" i="12" l="1"/>
  <c r="K37" i="40"/>
  <c r="H30" i="138"/>
  <c r="E30" i="138"/>
  <c r="H29" i="138"/>
  <c r="G29" i="138"/>
  <c r="F29" i="138"/>
  <c r="E29" i="138"/>
  <c r="H27" i="138"/>
  <c r="G27" i="138"/>
  <c r="F27" i="138"/>
  <c r="D27" i="138"/>
  <c r="H26" i="138"/>
  <c r="F26" i="138"/>
  <c r="D26" i="138"/>
  <c r="B27" i="138"/>
  <c r="B26" i="138"/>
  <c r="B42" i="141"/>
  <c r="B41" i="141"/>
  <c r="B40" i="141"/>
  <c r="K58" i="141"/>
  <c r="J58" i="141"/>
  <c r="I58" i="141"/>
  <c r="H58" i="141"/>
  <c r="G58" i="141"/>
  <c r="F58" i="141"/>
  <c r="E58" i="141"/>
  <c r="D58" i="141"/>
  <c r="C58" i="141"/>
  <c r="K57" i="141"/>
  <c r="J57" i="141"/>
  <c r="I57" i="141"/>
  <c r="H57" i="141"/>
  <c r="G57" i="141"/>
  <c r="F57" i="141"/>
  <c r="E57" i="141"/>
  <c r="D57" i="141"/>
  <c r="C57" i="141"/>
  <c r="K56" i="141"/>
  <c r="J56" i="141"/>
  <c r="I56" i="141"/>
  <c r="H56" i="141"/>
  <c r="G56" i="141"/>
  <c r="F56" i="141"/>
  <c r="E56" i="141"/>
  <c r="D56" i="141"/>
  <c r="C56" i="141"/>
  <c r="K54" i="141"/>
  <c r="K32" i="141" s="1"/>
  <c r="J54" i="141"/>
  <c r="J32" i="141" s="1"/>
  <c r="I54" i="141"/>
  <c r="I32" i="141" s="1"/>
  <c r="H54" i="141"/>
  <c r="G54" i="141"/>
  <c r="G32" i="141" s="1"/>
  <c r="F54" i="141"/>
  <c r="F32" i="141" s="1"/>
  <c r="E54" i="141"/>
  <c r="E32" i="141" s="1"/>
  <c r="D54" i="141"/>
  <c r="D32" i="141" s="1"/>
  <c r="C54" i="141"/>
  <c r="C32" i="141" s="1"/>
  <c r="K53" i="141"/>
  <c r="J53" i="141"/>
  <c r="I53" i="141"/>
  <c r="I63" i="141" s="1"/>
  <c r="H53" i="141"/>
  <c r="G53" i="141"/>
  <c r="F53" i="141"/>
  <c r="E53" i="141"/>
  <c r="E63" i="141" s="1"/>
  <c r="D53" i="141"/>
  <c r="C53" i="141"/>
  <c r="K52" i="141"/>
  <c r="J52" i="141"/>
  <c r="I52" i="141"/>
  <c r="H52" i="141"/>
  <c r="G52" i="141"/>
  <c r="F52" i="141"/>
  <c r="E52" i="141"/>
  <c r="D52" i="141"/>
  <c r="C52" i="141"/>
  <c r="K51" i="141"/>
  <c r="J51" i="141"/>
  <c r="I51" i="141"/>
  <c r="H51" i="141"/>
  <c r="G51" i="141"/>
  <c r="F51" i="141"/>
  <c r="E51" i="141"/>
  <c r="D51" i="141"/>
  <c r="C51" i="141"/>
  <c r="K50" i="141"/>
  <c r="J50" i="141"/>
  <c r="I50" i="141"/>
  <c r="H50" i="141"/>
  <c r="G50" i="141"/>
  <c r="F50" i="141"/>
  <c r="E50" i="141"/>
  <c r="D50" i="141"/>
  <c r="C50" i="141"/>
  <c r="K49" i="141"/>
  <c r="J49" i="141"/>
  <c r="I49" i="141"/>
  <c r="H49" i="141"/>
  <c r="G49" i="141"/>
  <c r="F49" i="141"/>
  <c r="E49" i="141"/>
  <c r="D49" i="141"/>
  <c r="C49" i="141"/>
  <c r="K48" i="141"/>
  <c r="J48" i="141"/>
  <c r="I48" i="141"/>
  <c r="H48" i="141"/>
  <c r="G48" i="141"/>
  <c r="F48" i="141"/>
  <c r="E48" i="141"/>
  <c r="D48" i="141"/>
  <c r="C48" i="141"/>
  <c r="B58" i="141"/>
  <c r="B57" i="141"/>
  <c r="B56" i="141"/>
  <c r="B54" i="141"/>
  <c r="B53" i="141"/>
  <c r="B63" i="141" s="1"/>
  <c r="B52" i="141"/>
  <c r="B51" i="141"/>
  <c r="B50" i="141"/>
  <c r="B49" i="141"/>
  <c r="B48" i="141"/>
  <c r="K65" i="141"/>
  <c r="I65" i="141"/>
  <c r="J64" i="141"/>
  <c r="F64" i="141"/>
  <c r="J62" i="141"/>
  <c r="F62" i="141"/>
  <c r="J65" i="141"/>
  <c r="K64" i="141"/>
  <c r="J63" i="141"/>
  <c r="H64" i="141"/>
  <c r="G64" i="141"/>
  <c r="F63" i="141"/>
  <c r="D64" i="141"/>
  <c r="C64" i="141"/>
  <c r="K76" i="24"/>
  <c r="K61" i="24"/>
  <c r="K58" i="24"/>
  <c r="H29" i="52"/>
  <c r="H28" i="52"/>
  <c r="H27" i="52"/>
  <c r="H26" i="52"/>
  <c r="H25" i="52"/>
  <c r="I30" i="86"/>
  <c r="I29" i="86"/>
  <c r="I28" i="86"/>
  <c r="I27" i="86"/>
  <c r="I26" i="86"/>
  <c r="I25" i="86"/>
  <c r="I34" i="47"/>
  <c r="I33" i="47"/>
  <c r="I32" i="47"/>
  <c r="I31" i="47"/>
  <c r="J31" i="47" s="1"/>
  <c r="I30" i="47"/>
  <c r="I29" i="47"/>
  <c r="J29" i="47" s="1"/>
  <c r="H29" i="47"/>
  <c r="I28" i="47"/>
  <c r="I65" i="44"/>
  <c r="I64" i="44"/>
  <c r="I63" i="44"/>
  <c r="I62" i="44"/>
  <c r="I61" i="44"/>
  <c r="I60" i="44"/>
  <c r="I59" i="44"/>
  <c r="I58" i="44"/>
  <c r="I57" i="44"/>
  <c r="I56" i="44"/>
  <c r="I29" i="29"/>
  <c r="L18" i="66"/>
  <c r="L10" i="66"/>
  <c r="K93" i="43"/>
  <c r="J93" i="43" s="1"/>
  <c r="H22" i="66"/>
  <c r="G22" i="66"/>
  <c r="F22" i="66"/>
  <c r="E22" i="66"/>
  <c r="D22" i="66"/>
  <c r="H21" i="66"/>
  <c r="G21" i="66"/>
  <c r="F21" i="66"/>
  <c r="E21" i="66"/>
  <c r="D21" i="66"/>
  <c r="C22" i="66"/>
  <c r="C21" i="66"/>
  <c r="I20" i="66"/>
  <c r="H20" i="66"/>
  <c r="F20" i="66"/>
  <c r="E20" i="66"/>
  <c r="D20" i="66"/>
  <c r="C20" i="66"/>
  <c r="I19" i="66"/>
  <c r="F19" i="66"/>
  <c r="E19" i="66"/>
  <c r="D19" i="66"/>
  <c r="C19" i="66"/>
  <c r="H17" i="66"/>
  <c r="G17" i="66"/>
  <c r="F17" i="66"/>
  <c r="E17" i="66"/>
  <c r="D17" i="66"/>
  <c r="C17" i="66"/>
  <c r="I16" i="66"/>
  <c r="H16" i="66"/>
  <c r="F16" i="66"/>
  <c r="E16" i="66"/>
  <c r="D16" i="66"/>
  <c r="C16" i="66"/>
  <c r="I15" i="66"/>
  <c r="H15" i="66"/>
  <c r="G15" i="66"/>
  <c r="F15" i="66"/>
  <c r="E15" i="66"/>
  <c r="D15" i="66"/>
  <c r="C15" i="66"/>
  <c r="H14" i="66"/>
  <c r="G14" i="66"/>
  <c r="F14" i="66"/>
  <c r="C14" i="66"/>
  <c r="I11" i="66"/>
  <c r="H11" i="66"/>
  <c r="G11" i="66"/>
  <c r="F11" i="66"/>
  <c r="E11" i="66"/>
  <c r="D11" i="66"/>
  <c r="C11" i="66"/>
  <c r="I9" i="66"/>
  <c r="H9" i="66"/>
  <c r="G9" i="66"/>
  <c r="F9" i="66"/>
  <c r="E9" i="66"/>
  <c r="D9" i="66"/>
  <c r="C9" i="66"/>
  <c r="G8" i="66"/>
  <c r="F8" i="66"/>
  <c r="E8" i="66"/>
  <c r="D8" i="66"/>
  <c r="C8" i="66"/>
  <c r="J80" i="26"/>
  <c r="J73" i="26"/>
  <c r="J24" i="26"/>
  <c r="J25" i="26" s="1"/>
  <c r="H25" i="26"/>
  <c r="C8" i="26"/>
  <c r="C9" i="26" s="1"/>
  <c r="C13" i="26" s="1"/>
  <c r="C16" i="26" s="1"/>
  <c r="D6" i="66" s="1"/>
  <c r="B13" i="26"/>
  <c r="B16" i="26" s="1"/>
  <c r="C6" i="66" s="1"/>
  <c r="B24" i="26"/>
  <c r="C24" i="26"/>
  <c r="D24" i="26"/>
  <c r="E24" i="26"/>
  <c r="B25" i="26"/>
  <c r="B28" i="26" s="1"/>
  <c r="C7" i="66" s="1"/>
  <c r="C25" i="26"/>
  <c r="C28" i="26" s="1"/>
  <c r="D7" i="66" s="1"/>
  <c r="D25" i="26"/>
  <c r="D28" i="26" s="1"/>
  <c r="E7" i="66" s="1"/>
  <c r="E25" i="26"/>
  <c r="E28" i="26" s="1"/>
  <c r="F7" i="66" s="1"/>
  <c r="B47" i="26"/>
  <c r="B49" i="26" s="1"/>
  <c r="D47" i="26"/>
  <c r="D49" i="26" s="1"/>
  <c r="E47" i="26"/>
  <c r="E49" i="26" s="1"/>
  <c r="C49" i="26"/>
  <c r="B68" i="26"/>
  <c r="E68" i="26"/>
  <c r="B73" i="26"/>
  <c r="C73" i="26"/>
  <c r="D73" i="26"/>
  <c r="E73" i="26"/>
  <c r="B74" i="26"/>
  <c r="C74" i="26" s="1"/>
  <c r="D74" i="26" s="1"/>
  <c r="E74" i="26" s="1"/>
  <c r="B80" i="26"/>
  <c r="C80" i="26"/>
  <c r="D80" i="26"/>
  <c r="E80" i="26"/>
  <c r="J28" i="26" l="1"/>
  <c r="J33" i="47"/>
  <c r="I37" i="47"/>
  <c r="J37" i="47" s="1"/>
  <c r="K37" i="47" s="1"/>
  <c r="D119" i="137"/>
  <c r="J7" i="66"/>
  <c r="E33" i="141"/>
  <c r="J33" i="141"/>
  <c r="F33" i="141"/>
  <c r="G33" i="141"/>
  <c r="K33" i="141"/>
  <c r="C33" i="141"/>
  <c r="G65" i="141"/>
  <c r="D33" i="141"/>
  <c r="H65" i="141"/>
  <c r="H32" i="141"/>
  <c r="I33" i="141"/>
  <c r="J28" i="47"/>
  <c r="K28" i="47" s="1"/>
  <c r="J32" i="47"/>
  <c r="K32" i="47" s="1"/>
  <c r="K29" i="47"/>
  <c r="K31" i="47"/>
  <c r="K33" i="47"/>
  <c r="J30" i="47"/>
  <c r="K30" i="47" s="1"/>
  <c r="J34" i="47"/>
  <c r="K34" i="47" s="1"/>
  <c r="J85" i="11"/>
  <c r="K85" i="11" s="1"/>
  <c r="K59" i="44"/>
  <c r="J121" i="43"/>
  <c r="K121" i="43" s="1"/>
  <c r="J65" i="44"/>
  <c r="K65" i="44" s="1"/>
  <c r="B62" i="141"/>
  <c r="B64" i="141"/>
  <c r="E62" i="141"/>
  <c r="I62" i="141"/>
  <c r="C63" i="141"/>
  <c r="G63" i="141"/>
  <c r="K63" i="141"/>
  <c r="E64" i="141"/>
  <c r="I64" i="141"/>
  <c r="D63" i="141"/>
  <c r="H63" i="141"/>
  <c r="C62" i="141"/>
  <c r="G62" i="141"/>
  <c r="K62" i="141"/>
  <c r="D62" i="141"/>
  <c r="H62" i="141"/>
  <c r="B75" i="26"/>
  <c r="B85" i="26" s="1"/>
  <c r="D8" i="26"/>
  <c r="H33" i="141" l="1"/>
  <c r="D9" i="26"/>
  <c r="E8" i="26" s="1"/>
  <c r="D13" i="26" l="1"/>
  <c r="D16" i="26" s="1"/>
  <c r="E6" i="66"/>
  <c r="E9" i="26"/>
  <c r="E13" i="26" s="1"/>
  <c r="E16" i="26" s="1"/>
  <c r="E75" i="26" l="1"/>
  <c r="E85" i="26" s="1"/>
  <c r="F6" i="66"/>
  <c r="F47" i="26"/>
  <c r="C23" i="66"/>
  <c r="L20" i="66"/>
  <c r="L19" i="66"/>
  <c r="L17" i="66"/>
  <c r="L16" i="66"/>
  <c r="L15" i="66"/>
  <c r="L11" i="66"/>
  <c r="L9" i="66"/>
  <c r="L7" i="66"/>
  <c r="M7" i="66" s="1"/>
  <c r="H46" i="66"/>
  <c r="H15" i="4" l="1"/>
  <c r="H18" i="4" s="1"/>
  <c r="M56" i="6"/>
  <c r="H59" i="6"/>
  <c r="H56" i="6"/>
  <c r="H29" i="6"/>
  <c r="I22" i="5"/>
  <c r="I12" i="5"/>
  <c r="H25" i="5"/>
  <c r="G92" i="129" s="1"/>
  <c r="H22" i="5"/>
  <c r="H12" i="5"/>
  <c r="H11" i="11"/>
  <c r="H41" i="12"/>
  <c r="H14" i="12"/>
  <c r="H13" i="24"/>
  <c r="H35" i="24"/>
  <c r="I20" i="93"/>
  <c r="H26" i="93"/>
  <c r="H20" i="93"/>
  <c r="H20" i="54"/>
  <c r="H18" i="53"/>
  <c r="H20" i="53" s="1"/>
  <c r="H15" i="52"/>
  <c r="H57" i="51"/>
  <c r="H52" i="51"/>
  <c r="H29" i="51"/>
  <c r="H11" i="50"/>
  <c r="H14" i="50" s="1"/>
  <c r="H12" i="135"/>
  <c r="H15" i="135" s="1"/>
  <c r="H13" i="49"/>
  <c r="H25" i="49"/>
  <c r="H37" i="11"/>
  <c r="H15" i="11"/>
  <c r="H12" i="10"/>
  <c r="H15" i="10" s="1"/>
  <c r="H24" i="9"/>
  <c r="H11" i="9"/>
  <c r="H36" i="8"/>
  <c r="H12" i="7"/>
  <c r="H17" i="7" s="1"/>
  <c r="H24" i="22"/>
  <c r="H13" i="22"/>
  <c r="H18" i="18"/>
  <c r="H12" i="18"/>
  <c r="I49" i="17"/>
  <c r="I16" i="17"/>
  <c r="H71" i="66" l="1"/>
  <c r="G48" i="129"/>
  <c r="H79" i="66"/>
  <c r="H98" i="66"/>
  <c r="G65" i="129"/>
  <c r="H20" i="18"/>
  <c r="G54" i="129"/>
  <c r="H86" i="66"/>
  <c r="G55" i="129"/>
  <c r="H87" i="66"/>
  <c r="H22" i="54"/>
  <c r="G66" i="129" s="1"/>
  <c r="H99" i="66"/>
  <c r="H109" i="66"/>
  <c r="G83" i="129"/>
  <c r="G62" i="129"/>
  <c r="H95" i="66"/>
  <c r="H26" i="22"/>
  <c r="H61" i="6"/>
  <c r="H27" i="5"/>
  <c r="H43" i="12"/>
  <c r="H37" i="24"/>
  <c r="H114" i="66" s="1"/>
  <c r="H30" i="93"/>
  <c r="H60" i="51"/>
  <c r="H27" i="49"/>
  <c r="H42" i="11"/>
  <c r="H26" i="9"/>
  <c r="H38" i="8"/>
  <c r="H17" i="23"/>
  <c r="H13" i="23"/>
  <c r="H16" i="17"/>
  <c r="H49" i="17"/>
  <c r="H21" i="56"/>
  <c r="H12" i="56"/>
  <c r="H23" i="56" s="1"/>
  <c r="H53" i="15"/>
  <c r="H52" i="15"/>
  <c r="H51" i="15"/>
  <c r="H50" i="15"/>
  <c r="H49" i="15"/>
  <c r="H47" i="15"/>
  <c r="H46" i="15"/>
  <c r="H45" i="15"/>
  <c r="H44" i="15"/>
  <c r="H43" i="15"/>
  <c r="H42" i="15"/>
  <c r="H41" i="15"/>
  <c r="H40" i="15"/>
  <c r="H39" i="15"/>
  <c r="H38" i="15"/>
  <c r="H37" i="15"/>
  <c r="H36" i="15"/>
  <c r="H35" i="15"/>
  <c r="H34" i="15"/>
  <c r="H33" i="15"/>
  <c r="H32" i="15"/>
  <c r="H31" i="15"/>
  <c r="H29" i="15"/>
  <c r="H28" i="15"/>
  <c r="H27" i="15"/>
  <c r="H26" i="15"/>
  <c r="H25" i="15"/>
  <c r="H24" i="15"/>
  <c r="H23" i="15"/>
  <c r="H22" i="15"/>
  <c r="H21" i="15"/>
  <c r="H20" i="15"/>
  <c r="H19" i="15"/>
  <c r="H16" i="15"/>
  <c r="H15" i="15"/>
  <c r="H14" i="15"/>
  <c r="H13" i="15"/>
  <c r="H12" i="15"/>
  <c r="H11" i="15"/>
  <c r="H10" i="15"/>
  <c r="H9" i="15"/>
  <c r="H14" i="13"/>
  <c r="H118" i="66" s="1"/>
  <c r="H11" i="13"/>
  <c r="H17" i="86"/>
  <c r="H10" i="86"/>
  <c r="H10" i="48"/>
  <c r="H12" i="48" s="1"/>
  <c r="H19" i="47"/>
  <c r="H59" i="66" s="1"/>
  <c r="H16" i="47"/>
  <c r="H58" i="66" s="1"/>
  <c r="H14" i="46"/>
  <c r="H16" i="46" s="1"/>
  <c r="H10" i="46"/>
  <c r="H10" i="45"/>
  <c r="H12" i="45" s="1"/>
  <c r="H19" i="44"/>
  <c r="G19" i="44"/>
  <c r="F19" i="44"/>
  <c r="H32" i="44"/>
  <c r="H24" i="60"/>
  <c r="H19" i="60"/>
  <c r="H56" i="43"/>
  <c r="H53" i="43"/>
  <c r="H28" i="43"/>
  <c r="H39" i="87"/>
  <c r="H41" i="87" s="1"/>
  <c r="H15" i="41"/>
  <c r="H18" i="41" s="1"/>
  <c r="H28" i="40"/>
  <c r="H12" i="40"/>
  <c r="H34" i="38"/>
  <c r="H21" i="77"/>
  <c r="H21" i="149"/>
  <c r="H11" i="149"/>
  <c r="H12" i="36"/>
  <c r="H15" i="36" s="1"/>
  <c r="H16" i="35"/>
  <c r="H31" i="35"/>
  <c r="H36" i="34"/>
  <c r="H39" i="34"/>
  <c r="H38" i="66" s="1"/>
  <c r="H16" i="34"/>
  <c r="H24" i="33"/>
  <c r="H11" i="33"/>
  <c r="H11" i="32"/>
  <c r="H14" i="32" s="1"/>
  <c r="H15" i="31"/>
  <c r="H18" i="31" s="1"/>
  <c r="H34" i="30"/>
  <c r="H19" i="30"/>
  <c r="H10" i="29"/>
  <c r="G20" i="129" l="1"/>
  <c r="H47" i="66"/>
  <c r="G8" i="129"/>
  <c r="H34" i="66"/>
  <c r="G28" i="129"/>
  <c r="H56" i="66"/>
  <c r="H40" i="66"/>
  <c r="G13" i="129"/>
  <c r="H53" i="66"/>
  <c r="G25" i="129"/>
  <c r="G9" i="129"/>
  <c r="H35" i="66"/>
  <c r="H23" i="77"/>
  <c r="H42" i="66" s="1"/>
  <c r="G15" i="129"/>
  <c r="H58" i="43"/>
  <c r="H52" i="66" s="1"/>
  <c r="H57" i="66"/>
  <c r="G29" i="129"/>
  <c r="G31" i="129"/>
  <c r="H60" i="66"/>
  <c r="H92" i="66"/>
  <c r="G59" i="129"/>
  <c r="H107" i="66"/>
  <c r="G91" i="129"/>
  <c r="G93" i="129" s="1"/>
  <c r="G47" i="129"/>
  <c r="G49" i="129" s="1"/>
  <c r="H78" i="66"/>
  <c r="H68" i="66"/>
  <c r="G38" i="129"/>
  <c r="H26" i="33"/>
  <c r="H36" i="66" s="1"/>
  <c r="G67" i="129"/>
  <c r="G18" i="129"/>
  <c r="H45" i="66"/>
  <c r="H21" i="47"/>
  <c r="G30" i="129" s="1"/>
  <c r="G53" i="129"/>
  <c r="H85" i="66"/>
  <c r="H101" i="66"/>
  <c r="H41" i="34"/>
  <c r="H108" i="66"/>
  <c r="G82" i="129"/>
  <c r="H84" i="66"/>
  <c r="G52" i="129"/>
  <c r="H69" i="66"/>
  <c r="G39" i="129"/>
  <c r="H106" i="66"/>
  <c r="G81" i="129"/>
  <c r="H77" i="66"/>
  <c r="G46" i="129"/>
  <c r="H19" i="13"/>
  <c r="H117" i="66"/>
  <c r="H119" i="66" s="1"/>
  <c r="I53" i="43"/>
  <c r="I19" i="44"/>
  <c r="H19" i="23"/>
  <c r="H54" i="17"/>
  <c r="H55" i="15"/>
  <c r="H17" i="15"/>
  <c r="H19" i="86"/>
  <c r="H34" i="44"/>
  <c r="H26" i="60"/>
  <c r="H30" i="40"/>
  <c r="H36" i="38"/>
  <c r="H23" i="149"/>
  <c r="H33" i="35"/>
  <c r="H36" i="30"/>
  <c r="H21" i="29"/>
  <c r="H23" i="29" s="1"/>
  <c r="I18" i="2"/>
  <c r="G24" i="129" l="1"/>
  <c r="G33" i="129" s="1"/>
  <c r="G84" i="129"/>
  <c r="G95" i="129" s="1"/>
  <c r="H81" i="66"/>
  <c r="H111" i="66"/>
  <c r="H89" i="66"/>
  <c r="G10" i="129"/>
  <c r="G56" i="129"/>
  <c r="G12" i="129"/>
  <c r="H39" i="66"/>
  <c r="H32" i="66"/>
  <c r="G6" i="129"/>
  <c r="G32" i="129"/>
  <c r="H61" i="66"/>
  <c r="H43" i="66"/>
  <c r="G16" i="129"/>
  <c r="H54" i="66"/>
  <c r="G26" i="129"/>
  <c r="H55" i="66"/>
  <c r="G27" i="129"/>
  <c r="H41" i="66"/>
  <c r="G14" i="129"/>
  <c r="H33" i="66"/>
  <c r="G7" i="129"/>
  <c r="H44" i="66"/>
  <c r="G17" i="129"/>
  <c r="G11" i="129"/>
  <c r="H37" i="66"/>
  <c r="H60" i="15"/>
  <c r="H49" i="66" l="1"/>
  <c r="H63" i="66"/>
  <c r="G21" i="129"/>
  <c r="H66" i="66"/>
  <c r="H73" i="66" s="1"/>
  <c r="G36" i="129"/>
  <c r="H103" i="66" l="1"/>
  <c r="H123" i="66" s="1"/>
  <c r="B80" i="129"/>
  <c r="A81" i="129"/>
  <c r="A82" i="129"/>
  <c r="A83" i="129"/>
  <c r="H40" i="138" l="1"/>
  <c r="G40" i="138"/>
  <c r="F40" i="138"/>
  <c r="E40" i="138"/>
  <c r="H39" i="138"/>
  <c r="G39" i="138"/>
  <c r="F39" i="138"/>
  <c r="E39" i="138"/>
  <c r="H37" i="138"/>
  <c r="G37" i="138"/>
  <c r="F37" i="138"/>
  <c r="E37" i="138"/>
  <c r="D37" i="138"/>
  <c r="C37" i="138"/>
  <c r="B37" i="138"/>
  <c r="H36" i="138"/>
  <c r="G36" i="138"/>
  <c r="F36" i="138"/>
  <c r="E36" i="138"/>
  <c r="D36" i="138"/>
  <c r="C36" i="138"/>
  <c r="B36" i="138"/>
  <c r="H50" i="138"/>
  <c r="G50" i="138"/>
  <c r="F50" i="138"/>
  <c r="E50" i="138"/>
  <c r="H49" i="138"/>
  <c r="G49" i="138"/>
  <c r="F49" i="138"/>
  <c r="E49" i="138"/>
  <c r="H47" i="138"/>
  <c r="G47" i="138"/>
  <c r="F47" i="138"/>
  <c r="E47" i="138"/>
  <c r="D47" i="138"/>
  <c r="C47" i="138"/>
  <c r="H46" i="138"/>
  <c r="G46" i="138"/>
  <c r="F46" i="138"/>
  <c r="E46" i="138"/>
  <c r="D46" i="138"/>
  <c r="C46" i="138"/>
  <c r="B47" i="138"/>
  <c r="B46" i="138"/>
  <c r="H60" i="138"/>
  <c r="G60" i="138"/>
  <c r="F60" i="138"/>
  <c r="E60" i="138"/>
  <c r="H59" i="138"/>
  <c r="G59" i="138"/>
  <c r="F59" i="138"/>
  <c r="E59" i="138"/>
  <c r="H57" i="138"/>
  <c r="G57" i="138"/>
  <c r="F57" i="138"/>
  <c r="E57" i="138"/>
  <c r="D57" i="138"/>
  <c r="C57" i="138"/>
  <c r="B57" i="138"/>
  <c r="H56" i="138"/>
  <c r="G56" i="138"/>
  <c r="F56" i="138"/>
  <c r="E56" i="138"/>
  <c r="D56" i="138"/>
  <c r="C56" i="138"/>
  <c r="B56" i="138"/>
  <c r="G26" i="43" l="1"/>
  <c r="R170" i="66" l="1"/>
  <c r="M171" i="66"/>
  <c r="I17" i="66" l="1"/>
  <c r="M163" i="66" l="1"/>
  <c r="M162" i="66"/>
  <c r="L57" i="15" l="1"/>
  <c r="K57" i="15"/>
  <c r="K58" i="15" s="1"/>
  <c r="I57" i="15"/>
  <c r="K52" i="17"/>
  <c r="L52" i="17"/>
  <c r="M52" i="17" s="1"/>
  <c r="I52" i="17"/>
  <c r="I58" i="15" l="1"/>
  <c r="L58" i="15"/>
  <c r="C72" i="143"/>
  <c r="J37" i="129"/>
  <c r="M57" i="15"/>
  <c r="I37" i="129"/>
  <c r="M37" i="129" s="1"/>
  <c r="N37" i="129" s="1"/>
  <c r="M58" i="15" l="1"/>
  <c r="L67" i="66" s="1"/>
  <c r="M55" i="43"/>
  <c r="M56" i="43" l="1"/>
  <c r="L53" i="66" s="1"/>
  <c r="G59" i="66" l="1"/>
  <c r="F59" i="66"/>
  <c r="E59" i="66"/>
  <c r="D59" i="66"/>
  <c r="C59" i="66"/>
  <c r="G46" i="66"/>
  <c r="F46" i="66"/>
  <c r="E46" i="66"/>
  <c r="D46" i="66"/>
  <c r="C46" i="66"/>
  <c r="I46" i="66"/>
  <c r="E11" i="50" l="1"/>
  <c r="E14" i="50" s="1"/>
  <c r="E55" i="129" l="1"/>
  <c r="E87" i="66"/>
  <c r="M11" i="50"/>
  <c r="E34" i="38" l="1"/>
  <c r="E17" i="38"/>
  <c r="E21" i="77"/>
  <c r="E23" i="77" s="1"/>
  <c r="E42" i="66" l="1"/>
  <c r="E15" i="129"/>
  <c r="E36" i="38"/>
  <c r="L15" i="44"/>
  <c r="E43" i="66" l="1"/>
  <c r="E16" i="129"/>
  <c r="I57" i="24"/>
  <c r="J61" i="44" l="1"/>
  <c r="K61" i="44" s="1"/>
  <c r="G12" i="36"/>
  <c r="G15" i="36" s="1"/>
  <c r="G40" i="66" s="1"/>
  <c r="L14" i="30"/>
  <c r="M137" i="66" l="1"/>
  <c r="L56" i="43"/>
  <c r="K53" i="66" s="1"/>
  <c r="L53" i="43"/>
  <c r="L138" i="66" l="1"/>
  <c r="M138" i="66" s="1"/>
  <c r="L139" i="66"/>
  <c r="M139" i="66" s="1"/>
  <c r="J57" i="24"/>
  <c r="K57" i="24" s="1"/>
  <c r="L35" i="24" l="1"/>
  <c r="I43" i="9" l="1"/>
  <c r="J43" i="9" l="1"/>
  <c r="K43" i="9"/>
  <c r="K38" i="40"/>
  <c r="C71" i="143" l="1"/>
  <c r="AI41" i="159" l="1"/>
  <c r="AH41" i="159"/>
  <c r="AG41" i="159"/>
  <c r="AF41" i="159"/>
  <c r="AE41" i="159"/>
  <c r="AD41" i="159"/>
  <c r="AC41" i="159"/>
  <c r="AB41" i="159"/>
  <c r="AA41" i="159"/>
  <c r="Z41" i="159"/>
  <c r="Y41" i="159"/>
  <c r="X41" i="159"/>
  <c r="W41" i="159"/>
  <c r="V41" i="159"/>
  <c r="U41" i="159"/>
  <c r="T41" i="159"/>
  <c r="S41" i="159"/>
  <c r="R41" i="159"/>
  <c r="Q41" i="159"/>
  <c r="P41" i="159"/>
  <c r="O41" i="159"/>
  <c r="N41" i="159"/>
  <c r="M41" i="159"/>
  <c r="L41" i="159"/>
  <c r="K41" i="159"/>
  <c r="J41" i="159"/>
  <c r="I41" i="159"/>
  <c r="H41" i="159"/>
  <c r="G41" i="159"/>
  <c r="F41" i="159"/>
  <c r="E41" i="159"/>
  <c r="AI40" i="159"/>
  <c r="AH40" i="159"/>
  <c r="AG40" i="159"/>
  <c r="AF40" i="159"/>
  <c r="AE40" i="159"/>
  <c r="AD40" i="159"/>
  <c r="AC40" i="159"/>
  <c r="AB40" i="159"/>
  <c r="AA40" i="159"/>
  <c r="Z40" i="159"/>
  <c r="Y40" i="159"/>
  <c r="X40" i="159"/>
  <c r="W40" i="159"/>
  <c r="V40" i="159"/>
  <c r="U40" i="159"/>
  <c r="T40" i="159"/>
  <c r="S40" i="159"/>
  <c r="R40" i="159"/>
  <c r="Q40" i="159"/>
  <c r="P40" i="159"/>
  <c r="O40" i="159"/>
  <c r="N40" i="159"/>
  <c r="M40" i="159"/>
  <c r="L40" i="159"/>
  <c r="K40" i="159"/>
  <c r="J40" i="159"/>
  <c r="I40" i="159"/>
  <c r="H40" i="159"/>
  <c r="G40" i="159"/>
  <c r="F40" i="159"/>
  <c r="E40" i="159"/>
  <c r="AI39" i="159"/>
  <c r="AH39" i="159"/>
  <c r="AG39" i="159"/>
  <c r="AF39" i="159"/>
  <c r="AE39" i="159"/>
  <c r="AD39" i="159"/>
  <c r="AC39" i="159"/>
  <c r="AB39" i="159"/>
  <c r="AA39" i="159"/>
  <c r="Z39" i="159"/>
  <c r="Y39" i="159"/>
  <c r="X39" i="159"/>
  <c r="W39" i="159"/>
  <c r="V39" i="159"/>
  <c r="U39" i="159"/>
  <c r="T39" i="159"/>
  <c r="S39" i="159"/>
  <c r="R39" i="159"/>
  <c r="Q39" i="159"/>
  <c r="P39" i="159"/>
  <c r="O39" i="159"/>
  <c r="N39" i="159"/>
  <c r="M39" i="159"/>
  <c r="L39" i="159"/>
  <c r="K39" i="159"/>
  <c r="J39" i="159"/>
  <c r="I39" i="159"/>
  <c r="H39" i="159"/>
  <c r="G39" i="159"/>
  <c r="F39" i="159"/>
  <c r="E39" i="159"/>
  <c r="AI38" i="159"/>
  <c r="AH38" i="159"/>
  <c r="AG38" i="159"/>
  <c r="AF38" i="159"/>
  <c r="AE38" i="159"/>
  <c r="AD38" i="159"/>
  <c r="AC38" i="159"/>
  <c r="AB38" i="159"/>
  <c r="AA38" i="159"/>
  <c r="Z38" i="159"/>
  <c r="Y38" i="159"/>
  <c r="X38" i="159"/>
  <c r="W38" i="159"/>
  <c r="V38" i="159"/>
  <c r="U38" i="159"/>
  <c r="T38" i="159"/>
  <c r="S38" i="159"/>
  <c r="R38" i="159"/>
  <c r="Q38" i="159"/>
  <c r="P38" i="159"/>
  <c r="O38" i="159"/>
  <c r="N38" i="159"/>
  <c r="M38" i="159"/>
  <c r="L38" i="159"/>
  <c r="K38" i="159"/>
  <c r="J38" i="159"/>
  <c r="I38" i="159"/>
  <c r="H38" i="159"/>
  <c r="G38" i="159"/>
  <c r="F38" i="159"/>
  <c r="E38" i="159"/>
  <c r="D41" i="159"/>
  <c r="D40" i="159"/>
  <c r="D39" i="159"/>
  <c r="D38" i="159"/>
  <c r="D124" i="159" l="1"/>
  <c r="AI37" i="159"/>
  <c r="AH37" i="159"/>
  <c r="AG37" i="159"/>
  <c r="AF37" i="159"/>
  <c r="AE37" i="159"/>
  <c r="AD37" i="159"/>
  <c r="AC37" i="159"/>
  <c r="AB37" i="159"/>
  <c r="AA37" i="159"/>
  <c r="Z37" i="159"/>
  <c r="Y37" i="159"/>
  <c r="X37" i="159"/>
  <c r="W37" i="159"/>
  <c r="V37" i="159"/>
  <c r="U37" i="159"/>
  <c r="T37" i="159"/>
  <c r="S37" i="159"/>
  <c r="R37" i="159"/>
  <c r="Q37" i="159"/>
  <c r="P37" i="159"/>
  <c r="O37" i="159"/>
  <c r="N37" i="159"/>
  <c r="M37" i="159"/>
  <c r="L37" i="159"/>
  <c r="K37" i="159"/>
  <c r="J37" i="159"/>
  <c r="I37" i="159"/>
  <c r="H37" i="159"/>
  <c r="G37" i="159"/>
  <c r="F37" i="159"/>
  <c r="E37" i="159"/>
  <c r="AI36" i="159"/>
  <c r="AH36" i="159"/>
  <c r="AG36" i="159"/>
  <c r="AF36" i="159"/>
  <c r="AE36" i="159"/>
  <c r="AD36" i="159"/>
  <c r="AC36" i="159"/>
  <c r="AB36" i="159"/>
  <c r="AA36" i="159"/>
  <c r="Z36" i="159"/>
  <c r="Y36" i="159"/>
  <c r="X36" i="159"/>
  <c r="W36" i="159"/>
  <c r="V36" i="159"/>
  <c r="U36" i="159"/>
  <c r="T36" i="159"/>
  <c r="S36" i="159"/>
  <c r="R36" i="159"/>
  <c r="Q36" i="159"/>
  <c r="P36" i="159"/>
  <c r="O36" i="159"/>
  <c r="N36" i="159"/>
  <c r="M36" i="159"/>
  <c r="L36" i="159"/>
  <c r="K36" i="159"/>
  <c r="J36" i="159"/>
  <c r="I36" i="159"/>
  <c r="H36" i="159"/>
  <c r="G36" i="159"/>
  <c r="F36" i="159"/>
  <c r="E36" i="159"/>
  <c r="D36" i="159"/>
  <c r="D37" i="159"/>
  <c r="AI30" i="159" l="1"/>
  <c r="AH30" i="159"/>
  <c r="AG30" i="159"/>
  <c r="AF30" i="159"/>
  <c r="AE30" i="159"/>
  <c r="AD30" i="159"/>
  <c r="AC30" i="159"/>
  <c r="AB30" i="159"/>
  <c r="AA30" i="159"/>
  <c r="Z30" i="159"/>
  <c r="Y30" i="159"/>
  <c r="X30" i="159"/>
  <c r="W30" i="159"/>
  <c r="V30" i="159"/>
  <c r="U30" i="159"/>
  <c r="T30" i="159"/>
  <c r="S30" i="159"/>
  <c r="R30" i="159"/>
  <c r="Q30" i="159"/>
  <c r="P30" i="159"/>
  <c r="O30" i="159"/>
  <c r="N30" i="159"/>
  <c r="M30" i="159"/>
  <c r="L30" i="159"/>
  <c r="K30" i="159"/>
  <c r="J30" i="159"/>
  <c r="I30" i="159"/>
  <c r="H30" i="159"/>
  <c r="G30" i="159"/>
  <c r="F30" i="159"/>
  <c r="E30" i="159"/>
  <c r="AI29" i="159"/>
  <c r="AH29" i="159"/>
  <c r="AG29" i="159"/>
  <c r="AF29" i="159"/>
  <c r="AE29" i="159"/>
  <c r="AD29" i="159"/>
  <c r="AC29" i="159"/>
  <c r="AB29" i="159"/>
  <c r="AA29" i="159"/>
  <c r="Z29" i="159"/>
  <c r="Y29" i="159"/>
  <c r="X29" i="159"/>
  <c r="W29" i="159"/>
  <c r="V29" i="159"/>
  <c r="U29" i="159"/>
  <c r="T29" i="159"/>
  <c r="S29" i="159"/>
  <c r="R29" i="159"/>
  <c r="Q29" i="159"/>
  <c r="P29" i="159"/>
  <c r="O29" i="159"/>
  <c r="N29" i="159"/>
  <c r="M29" i="159"/>
  <c r="L29" i="159"/>
  <c r="K29" i="159"/>
  <c r="J29" i="159"/>
  <c r="I29" i="159"/>
  <c r="H29" i="159"/>
  <c r="G29" i="159"/>
  <c r="F29" i="159"/>
  <c r="E29" i="159"/>
  <c r="AI28" i="159"/>
  <c r="AH28" i="159"/>
  <c r="AG28" i="159"/>
  <c r="AF28" i="159"/>
  <c r="AE28" i="159"/>
  <c r="AD28" i="159"/>
  <c r="AC28" i="159"/>
  <c r="AB28" i="159"/>
  <c r="AA28" i="159"/>
  <c r="Z28" i="159"/>
  <c r="Y28" i="159"/>
  <c r="X28" i="159"/>
  <c r="W28" i="159"/>
  <c r="V28" i="159"/>
  <c r="U28" i="159"/>
  <c r="T28" i="159"/>
  <c r="S28" i="159"/>
  <c r="R28" i="159"/>
  <c r="Q28" i="159"/>
  <c r="P28" i="159"/>
  <c r="O28" i="159"/>
  <c r="N28" i="159"/>
  <c r="M28" i="159"/>
  <c r="L28" i="159"/>
  <c r="K28" i="159"/>
  <c r="J28" i="159"/>
  <c r="I28" i="159"/>
  <c r="AI22" i="159"/>
  <c r="AH22" i="159"/>
  <c r="AG22" i="159"/>
  <c r="AF22" i="159"/>
  <c r="AE22" i="159"/>
  <c r="AD22" i="159"/>
  <c r="AC22" i="159"/>
  <c r="AB22" i="159"/>
  <c r="AA22" i="159"/>
  <c r="Z22" i="159"/>
  <c r="Y22" i="159"/>
  <c r="X22" i="159"/>
  <c r="W22" i="159"/>
  <c r="V22" i="159"/>
  <c r="U22" i="159"/>
  <c r="T22" i="159"/>
  <c r="S22" i="159"/>
  <c r="R22" i="159"/>
  <c r="Q22" i="159"/>
  <c r="P22" i="159"/>
  <c r="O22" i="159"/>
  <c r="N22" i="159"/>
  <c r="M22" i="159"/>
  <c r="L22" i="159"/>
  <c r="K22" i="159"/>
  <c r="J22" i="159"/>
  <c r="I22" i="159"/>
  <c r="H22" i="159"/>
  <c r="G22" i="159"/>
  <c r="F22" i="159"/>
  <c r="E22" i="159"/>
  <c r="AI21" i="159"/>
  <c r="AH21" i="159"/>
  <c r="AG21" i="159"/>
  <c r="AF21" i="159"/>
  <c r="AE21" i="159"/>
  <c r="AD21" i="159"/>
  <c r="AC21" i="159"/>
  <c r="AB21" i="159"/>
  <c r="AA21" i="159"/>
  <c r="Z21" i="159"/>
  <c r="Y21" i="159"/>
  <c r="X21" i="159"/>
  <c r="W21" i="159"/>
  <c r="V21" i="159"/>
  <c r="U21" i="159"/>
  <c r="T21" i="159"/>
  <c r="S21" i="159"/>
  <c r="R21" i="159"/>
  <c r="Q21" i="159"/>
  <c r="P21" i="159"/>
  <c r="O21" i="159"/>
  <c r="N21" i="159"/>
  <c r="M21" i="159"/>
  <c r="L21" i="159"/>
  <c r="D22" i="159"/>
  <c r="K86" i="159"/>
  <c r="J86" i="159"/>
  <c r="I86" i="159"/>
  <c r="H86" i="159"/>
  <c r="G86" i="159"/>
  <c r="F86" i="159"/>
  <c r="E86" i="159"/>
  <c r="D86" i="159"/>
  <c r="K65" i="159"/>
  <c r="K21" i="159" s="1"/>
  <c r="J65" i="159"/>
  <c r="J21" i="159" s="1"/>
  <c r="I65" i="159"/>
  <c r="I21" i="159" s="1"/>
  <c r="H65" i="159"/>
  <c r="H21" i="159" s="1"/>
  <c r="G65" i="159"/>
  <c r="G21" i="159" s="1"/>
  <c r="F65" i="159"/>
  <c r="F21" i="159" s="1"/>
  <c r="E65" i="159"/>
  <c r="E21" i="159" s="1"/>
  <c r="D65" i="159"/>
  <c r="D21" i="159" s="1"/>
  <c r="AI19" i="159"/>
  <c r="AH19" i="159"/>
  <c r="AG19" i="159"/>
  <c r="AF19" i="159"/>
  <c r="AE19" i="159"/>
  <c r="AD19" i="159"/>
  <c r="AC19" i="159"/>
  <c r="AB19" i="159"/>
  <c r="AA19" i="159"/>
  <c r="Z19" i="159"/>
  <c r="Y19" i="159"/>
  <c r="X19" i="159"/>
  <c r="W19" i="159"/>
  <c r="V19" i="159"/>
  <c r="U19" i="159"/>
  <c r="T19" i="159"/>
  <c r="S19" i="159"/>
  <c r="R19" i="159"/>
  <c r="Q19" i="159"/>
  <c r="P19" i="159"/>
  <c r="O19" i="159"/>
  <c r="N19" i="159"/>
  <c r="M19" i="159"/>
  <c r="L19" i="159"/>
  <c r="K19" i="159"/>
  <c r="J19" i="159"/>
  <c r="I19" i="159"/>
  <c r="H19" i="159"/>
  <c r="G19" i="159"/>
  <c r="F19" i="159"/>
  <c r="E19" i="159"/>
  <c r="AI18" i="159"/>
  <c r="AH18" i="159"/>
  <c r="AG18" i="159"/>
  <c r="AF18" i="159"/>
  <c r="AE18" i="159"/>
  <c r="AD18" i="159"/>
  <c r="AC18" i="159"/>
  <c r="AB18" i="159"/>
  <c r="AA18" i="159"/>
  <c r="Z18" i="159"/>
  <c r="Y18" i="159"/>
  <c r="X18" i="159"/>
  <c r="W18" i="159"/>
  <c r="V18" i="159"/>
  <c r="U18" i="159"/>
  <c r="T18" i="159"/>
  <c r="S18" i="159"/>
  <c r="R18" i="159"/>
  <c r="Q18" i="159"/>
  <c r="P18" i="159"/>
  <c r="O18" i="159"/>
  <c r="N18" i="159"/>
  <c r="M18" i="159"/>
  <c r="L18" i="159"/>
  <c r="K18" i="159"/>
  <c r="J18" i="159"/>
  <c r="I18" i="159"/>
  <c r="H18" i="159"/>
  <c r="G18" i="159"/>
  <c r="F18" i="159"/>
  <c r="E18" i="159"/>
  <c r="AI17" i="159"/>
  <c r="AH17" i="159"/>
  <c r="AG17" i="159"/>
  <c r="AF17" i="159"/>
  <c r="AE17" i="159"/>
  <c r="AD17" i="159"/>
  <c r="AC17" i="159"/>
  <c r="AB17" i="159"/>
  <c r="AA17" i="159"/>
  <c r="Z17" i="159"/>
  <c r="Y17" i="159"/>
  <c r="X17" i="159"/>
  <c r="W17" i="159"/>
  <c r="V17" i="159"/>
  <c r="U17" i="159"/>
  <c r="T17" i="159"/>
  <c r="S17" i="159"/>
  <c r="R17" i="159"/>
  <c r="Q17" i="159"/>
  <c r="P17" i="159"/>
  <c r="O17" i="159"/>
  <c r="N17" i="159"/>
  <c r="M17" i="159"/>
  <c r="L17" i="159"/>
  <c r="K17" i="159"/>
  <c r="J17" i="159"/>
  <c r="I17" i="159"/>
  <c r="H17" i="159"/>
  <c r="G17" i="159"/>
  <c r="F17" i="159"/>
  <c r="E17" i="159"/>
  <c r="AI16" i="159"/>
  <c r="AH16" i="159"/>
  <c r="AG16" i="159"/>
  <c r="AF16" i="159"/>
  <c r="AE16" i="159"/>
  <c r="AD16" i="159"/>
  <c r="AC16" i="159"/>
  <c r="AB16" i="159"/>
  <c r="AA16" i="159"/>
  <c r="Z16" i="159"/>
  <c r="Y16" i="159"/>
  <c r="X16" i="159"/>
  <c r="W16" i="159"/>
  <c r="V16" i="159"/>
  <c r="U16" i="159"/>
  <c r="T16" i="159"/>
  <c r="S16" i="159"/>
  <c r="R16" i="159"/>
  <c r="Q16" i="159"/>
  <c r="P16" i="159"/>
  <c r="O16" i="159"/>
  <c r="N16" i="159"/>
  <c r="M16" i="159"/>
  <c r="L16" i="159"/>
  <c r="K16" i="159"/>
  <c r="J16" i="159"/>
  <c r="I16" i="159"/>
  <c r="H16" i="159"/>
  <c r="G16" i="159"/>
  <c r="F16" i="159"/>
  <c r="E16" i="159"/>
  <c r="AI15" i="159"/>
  <c r="AH15" i="159"/>
  <c r="AG15" i="159"/>
  <c r="AF15" i="159"/>
  <c r="AE15" i="159"/>
  <c r="AD15" i="159"/>
  <c r="AC15" i="159"/>
  <c r="AB15" i="159"/>
  <c r="AA15" i="159"/>
  <c r="Z15" i="159"/>
  <c r="Y15" i="159"/>
  <c r="X15" i="159"/>
  <c r="W15" i="159"/>
  <c r="V15" i="159"/>
  <c r="U15" i="159"/>
  <c r="T15" i="159"/>
  <c r="S15" i="159"/>
  <c r="R15" i="159"/>
  <c r="Q15" i="159"/>
  <c r="P15" i="159"/>
  <c r="O15" i="159"/>
  <c r="N15" i="159"/>
  <c r="M15" i="159"/>
  <c r="L15" i="159"/>
  <c r="K15" i="159"/>
  <c r="J15" i="159"/>
  <c r="I15" i="159"/>
  <c r="H15" i="159"/>
  <c r="G15" i="159"/>
  <c r="F15" i="159"/>
  <c r="E15" i="159"/>
  <c r="AI14" i="159"/>
  <c r="AH14" i="159"/>
  <c r="AG14" i="159"/>
  <c r="AF14" i="159"/>
  <c r="AE14" i="159"/>
  <c r="AD14" i="159"/>
  <c r="AC14" i="159"/>
  <c r="AB14" i="159"/>
  <c r="AA14" i="159"/>
  <c r="Z14" i="159"/>
  <c r="Y14" i="159"/>
  <c r="X14" i="159"/>
  <c r="W14" i="159"/>
  <c r="V14" i="159"/>
  <c r="U14" i="159"/>
  <c r="T14" i="159"/>
  <c r="S14" i="159"/>
  <c r="R14" i="159"/>
  <c r="Q14" i="159"/>
  <c r="P14" i="159"/>
  <c r="O14" i="159"/>
  <c r="N14" i="159"/>
  <c r="M14" i="159"/>
  <c r="L14" i="159"/>
  <c r="K14" i="159"/>
  <c r="J14" i="159"/>
  <c r="I14" i="159"/>
  <c r="H14" i="159"/>
  <c r="G14" i="159"/>
  <c r="F14" i="159"/>
  <c r="E14" i="159"/>
  <c r="AI13" i="159"/>
  <c r="AH13" i="159"/>
  <c r="AG13" i="159"/>
  <c r="AF13" i="159"/>
  <c r="AE13" i="159"/>
  <c r="AD13" i="159"/>
  <c r="AC13" i="159"/>
  <c r="AB13" i="159"/>
  <c r="AA13" i="159"/>
  <c r="Z13" i="159"/>
  <c r="Y13" i="159"/>
  <c r="X13" i="159"/>
  <c r="W13" i="159"/>
  <c r="V13" i="159"/>
  <c r="U13" i="159"/>
  <c r="T13" i="159"/>
  <c r="S13" i="159"/>
  <c r="R13" i="159"/>
  <c r="Q13" i="159"/>
  <c r="P13" i="159"/>
  <c r="O13" i="159"/>
  <c r="N13" i="159"/>
  <c r="M13" i="159"/>
  <c r="D18" i="159"/>
  <c r="D17" i="159"/>
  <c r="D16" i="159"/>
  <c r="D15" i="159"/>
  <c r="D14" i="159"/>
  <c r="D19" i="159"/>
  <c r="D29" i="159" l="1"/>
  <c r="AI8" i="159"/>
  <c r="AH8" i="159"/>
  <c r="AG8" i="159"/>
  <c r="AF8" i="159"/>
  <c r="AE8" i="159"/>
  <c r="AD8" i="159"/>
  <c r="AC8" i="159"/>
  <c r="AB8" i="159"/>
  <c r="AA8" i="159"/>
  <c r="Z8" i="159"/>
  <c r="Y8" i="159"/>
  <c r="X8" i="159"/>
  <c r="W8" i="159"/>
  <c r="V8" i="159"/>
  <c r="U8" i="159"/>
  <c r="T8" i="159"/>
  <c r="S8" i="159"/>
  <c r="R8" i="159"/>
  <c r="Q8" i="159"/>
  <c r="P8" i="159"/>
  <c r="O8" i="159"/>
  <c r="N8" i="159"/>
  <c r="M8" i="159"/>
  <c r="AI7" i="159"/>
  <c r="AH7" i="159"/>
  <c r="AG7" i="159"/>
  <c r="AF7" i="159"/>
  <c r="AE7" i="159"/>
  <c r="AD7" i="159"/>
  <c r="AC7" i="159"/>
  <c r="AB7" i="159"/>
  <c r="AA7" i="159"/>
  <c r="Z7" i="159"/>
  <c r="Y7" i="159"/>
  <c r="X7" i="159"/>
  <c r="W7" i="159"/>
  <c r="V7" i="159"/>
  <c r="U7" i="159"/>
  <c r="T7" i="159"/>
  <c r="S7" i="159"/>
  <c r="R7" i="159"/>
  <c r="Q7" i="159"/>
  <c r="P7" i="159"/>
  <c r="O7" i="159"/>
  <c r="N7" i="159"/>
  <c r="M7" i="159"/>
  <c r="AI6" i="159"/>
  <c r="AH6" i="159"/>
  <c r="AG6" i="159"/>
  <c r="AF6" i="159"/>
  <c r="AE6" i="159"/>
  <c r="AD6" i="159"/>
  <c r="AC6" i="159"/>
  <c r="AB6" i="159"/>
  <c r="AA6" i="159"/>
  <c r="Z6" i="159"/>
  <c r="Y6" i="159"/>
  <c r="X6" i="159"/>
  <c r="W6" i="159"/>
  <c r="V6" i="159"/>
  <c r="U6" i="159"/>
  <c r="T6" i="159"/>
  <c r="S6" i="159"/>
  <c r="R6" i="159"/>
  <c r="Q6" i="159"/>
  <c r="P6" i="159"/>
  <c r="O6" i="159"/>
  <c r="N6" i="159"/>
  <c r="M6" i="159"/>
  <c r="L6" i="159"/>
  <c r="K6" i="159"/>
  <c r="J6" i="159"/>
  <c r="I6" i="159"/>
  <c r="H6" i="159"/>
  <c r="G6" i="159"/>
  <c r="F6" i="159"/>
  <c r="E6" i="159"/>
  <c r="D20" i="159"/>
  <c r="AI162" i="159" l="1"/>
  <c r="AH162" i="159"/>
  <c r="AG162" i="159"/>
  <c r="AF162" i="159"/>
  <c r="AE162" i="159"/>
  <c r="AD162" i="159"/>
  <c r="AC162" i="159"/>
  <c r="AB162" i="159"/>
  <c r="AA162" i="159"/>
  <c r="Z162" i="159"/>
  <c r="Y162" i="159"/>
  <c r="X162" i="159"/>
  <c r="W162" i="159"/>
  <c r="V162" i="159"/>
  <c r="U162" i="159"/>
  <c r="T162" i="159"/>
  <c r="S162" i="159"/>
  <c r="R162" i="159"/>
  <c r="Q162" i="159"/>
  <c r="P162" i="159"/>
  <c r="O162" i="159"/>
  <c r="N162" i="159"/>
  <c r="M162" i="159"/>
  <c r="L162" i="159"/>
  <c r="K162" i="159"/>
  <c r="J162" i="159"/>
  <c r="I162" i="159"/>
  <c r="H162" i="159"/>
  <c r="G162" i="159"/>
  <c r="F162" i="159"/>
  <c r="E162" i="159"/>
  <c r="D162" i="159"/>
  <c r="C162" i="159"/>
  <c r="C178" i="159" s="1"/>
  <c r="C119" i="159" s="1"/>
  <c r="AI161" i="159"/>
  <c r="AI177" i="159" s="1"/>
  <c r="AI118" i="159" s="1"/>
  <c r="AH161" i="159"/>
  <c r="AG161" i="159"/>
  <c r="AG177" i="159" s="1"/>
  <c r="AG118" i="159" s="1"/>
  <c r="AF161" i="159"/>
  <c r="AE161" i="159"/>
  <c r="AE177" i="159" s="1"/>
  <c r="AE118" i="159" s="1"/>
  <c r="AD161" i="159"/>
  <c r="AC161" i="159"/>
  <c r="AC177" i="159" s="1"/>
  <c r="AC118" i="159" s="1"/>
  <c r="AB161" i="159"/>
  <c r="AA161" i="159"/>
  <c r="AA177" i="159" s="1"/>
  <c r="AA118" i="159" s="1"/>
  <c r="Z161" i="159"/>
  <c r="Y161" i="159"/>
  <c r="Y177" i="159" s="1"/>
  <c r="Y118" i="159" s="1"/>
  <c r="X161" i="159"/>
  <c r="W161" i="159"/>
  <c r="W177" i="159" s="1"/>
  <c r="W118" i="159" s="1"/>
  <c r="V161" i="159"/>
  <c r="U161" i="159"/>
  <c r="U177" i="159" s="1"/>
  <c r="U118" i="159" s="1"/>
  <c r="T161" i="159"/>
  <c r="S161" i="159"/>
  <c r="S177" i="159" s="1"/>
  <c r="S118" i="159" s="1"/>
  <c r="R161" i="159"/>
  <c r="Q161" i="159"/>
  <c r="Q177" i="159" s="1"/>
  <c r="Q118" i="159" s="1"/>
  <c r="P161" i="159"/>
  <c r="O161" i="159"/>
  <c r="O177" i="159" s="1"/>
  <c r="O118" i="159" s="1"/>
  <c r="N161" i="159"/>
  <c r="M161" i="159"/>
  <c r="M177" i="159" s="1"/>
  <c r="M118" i="159" s="1"/>
  <c r="L161" i="159"/>
  <c r="K161" i="159"/>
  <c r="K177" i="159" s="1"/>
  <c r="K118" i="159" s="1"/>
  <c r="J161" i="159"/>
  <c r="I161" i="159"/>
  <c r="I177" i="159" s="1"/>
  <c r="I118" i="159" s="1"/>
  <c r="H161" i="159"/>
  <c r="G161" i="159"/>
  <c r="G177" i="159" s="1"/>
  <c r="G118" i="159" s="1"/>
  <c r="F161" i="159"/>
  <c r="E161" i="159"/>
  <c r="E177" i="159" s="1"/>
  <c r="E118" i="159" s="1"/>
  <c r="D161" i="159"/>
  <c r="C161" i="159"/>
  <c r="C177" i="159" s="1"/>
  <c r="C118" i="159" s="1"/>
  <c r="AI160" i="159"/>
  <c r="AH160" i="159"/>
  <c r="AG160" i="159"/>
  <c r="AG176" i="159" s="1"/>
  <c r="AG117" i="159" s="1"/>
  <c r="AF160" i="159"/>
  <c r="AF176" i="159" s="1"/>
  <c r="AF117" i="159" s="1"/>
  <c r="AE160" i="159"/>
  <c r="AD160" i="159"/>
  <c r="AC160" i="159"/>
  <c r="AC176" i="159" s="1"/>
  <c r="AC117" i="159" s="1"/>
  <c r="AB160" i="159"/>
  <c r="AB176" i="159" s="1"/>
  <c r="AB117" i="159" s="1"/>
  <c r="AA160" i="159"/>
  <c r="Z160" i="159"/>
  <c r="Y160" i="159"/>
  <c r="Y176" i="159" s="1"/>
  <c r="Y117" i="159" s="1"/>
  <c r="X160" i="159"/>
  <c r="X176" i="159" s="1"/>
  <c r="X117" i="159" s="1"/>
  <c r="W160" i="159"/>
  <c r="V160" i="159"/>
  <c r="U160" i="159"/>
  <c r="U176" i="159" s="1"/>
  <c r="U117" i="159" s="1"/>
  <c r="T160" i="159"/>
  <c r="T176" i="159" s="1"/>
  <c r="T117" i="159" s="1"/>
  <c r="S160" i="159"/>
  <c r="R160" i="159"/>
  <c r="Q160" i="159"/>
  <c r="Q176" i="159" s="1"/>
  <c r="Q117" i="159" s="1"/>
  <c r="P160" i="159"/>
  <c r="P176" i="159" s="1"/>
  <c r="P117" i="159" s="1"/>
  <c r="O160" i="159"/>
  <c r="N160" i="159"/>
  <c r="M160" i="159"/>
  <c r="M176" i="159" s="1"/>
  <c r="M117" i="159" s="1"/>
  <c r="L160" i="159"/>
  <c r="L176" i="159" s="1"/>
  <c r="L117" i="159" s="1"/>
  <c r="K160" i="159"/>
  <c r="J160" i="159"/>
  <c r="I160" i="159"/>
  <c r="I176" i="159" s="1"/>
  <c r="I117" i="159" s="1"/>
  <c r="H160" i="159"/>
  <c r="H176" i="159" s="1"/>
  <c r="H117" i="159" s="1"/>
  <c r="G160" i="159"/>
  <c r="G176" i="159" s="1"/>
  <c r="G117" i="159" s="1"/>
  <c r="F160" i="159"/>
  <c r="E160" i="159"/>
  <c r="E176" i="159" s="1"/>
  <c r="E117" i="159" s="1"/>
  <c r="D160" i="159"/>
  <c r="D176" i="159" s="1"/>
  <c r="D117" i="159" s="1"/>
  <c r="C160" i="159"/>
  <c r="C176" i="159" s="1"/>
  <c r="C117" i="159" s="1"/>
  <c r="AI159" i="159"/>
  <c r="AI175" i="159" s="1"/>
  <c r="AI116" i="159" s="1"/>
  <c r="AH159" i="159"/>
  <c r="AG159" i="159"/>
  <c r="AG175" i="159" s="1"/>
  <c r="AG116" i="159" s="1"/>
  <c r="AF159" i="159"/>
  <c r="AE159" i="159"/>
  <c r="AE175" i="159" s="1"/>
  <c r="AE116" i="159" s="1"/>
  <c r="AD159" i="159"/>
  <c r="AC159" i="159"/>
  <c r="AC175" i="159" s="1"/>
  <c r="AC116" i="159" s="1"/>
  <c r="AB159" i="159"/>
  <c r="AA159" i="159"/>
  <c r="AA175" i="159" s="1"/>
  <c r="AA116" i="159" s="1"/>
  <c r="Z159" i="159"/>
  <c r="Y159" i="159"/>
  <c r="Y175" i="159" s="1"/>
  <c r="Y116" i="159" s="1"/>
  <c r="X159" i="159"/>
  <c r="W159" i="159"/>
  <c r="W175" i="159" s="1"/>
  <c r="W116" i="159" s="1"/>
  <c r="V159" i="159"/>
  <c r="U159" i="159"/>
  <c r="U175" i="159" s="1"/>
  <c r="U116" i="159" s="1"/>
  <c r="T159" i="159"/>
  <c r="S159" i="159"/>
  <c r="S175" i="159" s="1"/>
  <c r="S116" i="159" s="1"/>
  <c r="R159" i="159"/>
  <c r="Q159" i="159"/>
  <c r="Q175" i="159" s="1"/>
  <c r="Q116" i="159" s="1"/>
  <c r="P159" i="159"/>
  <c r="O159" i="159"/>
  <c r="O175" i="159" s="1"/>
  <c r="O116" i="159" s="1"/>
  <c r="N159" i="159"/>
  <c r="M159" i="159"/>
  <c r="M175" i="159" s="1"/>
  <c r="M116" i="159" s="1"/>
  <c r="L159" i="159"/>
  <c r="K159" i="159"/>
  <c r="K175" i="159" s="1"/>
  <c r="K116" i="159" s="1"/>
  <c r="J159" i="159"/>
  <c r="I159" i="159"/>
  <c r="I175" i="159" s="1"/>
  <c r="I116" i="159" s="1"/>
  <c r="H159" i="159"/>
  <c r="G159" i="159"/>
  <c r="G175" i="159" s="1"/>
  <c r="G116" i="159" s="1"/>
  <c r="F159" i="159"/>
  <c r="E159" i="159"/>
  <c r="E175" i="159" s="1"/>
  <c r="E116" i="159" s="1"/>
  <c r="D159" i="159"/>
  <c r="C159" i="159"/>
  <c r="C175" i="159" s="1"/>
  <c r="C116" i="159" s="1"/>
  <c r="AI158" i="159"/>
  <c r="AI174" i="159" s="1"/>
  <c r="AI115" i="159" s="1"/>
  <c r="AH158" i="159"/>
  <c r="AG158" i="159"/>
  <c r="AG174" i="159" s="1"/>
  <c r="AG115" i="159" s="1"/>
  <c r="AF158" i="159"/>
  <c r="AE158" i="159"/>
  <c r="AE174" i="159" s="1"/>
  <c r="AE115" i="159" s="1"/>
  <c r="AD158" i="159"/>
  <c r="AC158" i="159"/>
  <c r="AC174" i="159" s="1"/>
  <c r="AC115" i="159" s="1"/>
  <c r="AB158" i="159"/>
  <c r="AA158" i="159"/>
  <c r="AA174" i="159" s="1"/>
  <c r="AA115" i="159" s="1"/>
  <c r="Z158" i="159"/>
  <c r="Y158" i="159"/>
  <c r="Y174" i="159" s="1"/>
  <c r="Y115" i="159" s="1"/>
  <c r="X158" i="159"/>
  <c r="W158" i="159"/>
  <c r="W174" i="159" s="1"/>
  <c r="W115" i="159" s="1"/>
  <c r="V158" i="159"/>
  <c r="U158" i="159"/>
  <c r="U174" i="159" s="1"/>
  <c r="U115" i="159" s="1"/>
  <c r="T158" i="159"/>
  <c r="T174" i="159" s="1"/>
  <c r="T115" i="159" s="1"/>
  <c r="S158" i="159"/>
  <c r="S174" i="159" s="1"/>
  <c r="S115" i="159" s="1"/>
  <c r="R158" i="159"/>
  <c r="Q158" i="159"/>
  <c r="Q174" i="159" s="1"/>
  <c r="Q115" i="159" s="1"/>
  <c r="P158" i="159"/>
  <c r="P174" i="159" s="1"/>
  <c r="P115" i="159" s="1"/>
  <c r="O158" i="159"/>
  <c r="O174" i="159" s="1"/>
  <c r="O115" i="159" s="1"/>
  <c r="N158" i="159"/>
  <c r="M158" i="159"/>
  <c r="M174" i="159" s="1"/>
  <c r="M115" i="159" s="1"/>
  <c r="L158" i="159"/>
  <c r="L174" i="159" s="1"/>
  <c r="L115" i="159" s="1"/>
  <c r="K158" i="159"/>
  <c r="K174" i="159" s="1"/>
  <c r="K115" i="159" s="1"/>
  <c r="J158" i="159"/>
  <c r="I158" i="159"/>
  <c r="I174" i="159" s="1"/>
  <c r="I115" i="159" s="1"/>
  <c r="H158" i="159"/>
  <c r="H174" i="159" s="1"/>
  <c r="H115" i="159" s="1"/>
  <c r="G158" i="159"/>
  <c r="G174" i="159" s="1"/>
  <c r="G115" i="159" s="1"/>
  <c r="F158" i="159"/>
  <c r="E158" i="159"/>
  <c r="E174" i="159" s="1"/>
  <c r="E115" i="159" s="1"/>
  <c r="D158" i="159"/>
  <c r="D174" i="159" s="1"/>
  <c r="D115" i="159" s="1"/>
  <c r="C158" i="159"/>
  <c r="C174" i="159" s="1"/>
  <c r="C115" i="159" s="1"/>
  <c r="AI157" i="159"/>
  <c r="AI173" i="159" s="1"/>
  <c r="AI114" i="159" s="1"/>
  <c r="AH157" i="159"/>
  <c r="AH72" i="159" s="1"/>
  <c r="AG157" i="159"/>
  <c r="AG173" i="159" s="1"/>
  <c r="AF157" i="159"/>
  <c r="AF173" i="159" s="1"/>
  <c r="AF114" i="159" s="1"/>
  <c r="AE157" i="159"/>
  <c r="AE173" i="159" s="1"/>
  <c r="AE114" i="159" s="1"/>
  <c r="AD157" i="159"/>
  <c r="AD72" i="159" s="1"/>
  <c r="AC157" i="159"/>
  <c r="AC173" i="159" s="1"/>
  <c r="AB157" i="159"/>
  <c r="AB173" i="159" s="1"/>
  <c r="AB114" i="159" s="1"/>
  <c r="AA157" i="159"/>
  <c r="AA173" i="159" s="1"/>
  <c r="AA114" i="159" s="1"/>
  <c r="Z157" i="159"/>
  <c r="Z72" i="159" s="1"/>
  <c r="Y157" i="159"/>
  <c r="Y173" i="159" s="1"/>
  <c r="X157" i="159"/>
  <c r="X173" i="159" s="1"/>
  <c r="X114" i="159" s="1"/>
  <c r="W157" i="159"/>
  <c r="W173" i="159" s="1"/>
  <c r="W114" i="159" s="1"/>
  <c r="V157" i="159"/>
  <c r="V72" i="159" s="1"/>
  <c r="U157" i="159"/>
  <c r="U173" i="159" s="1"/>
  <c r="T157" i="159"/>
  <c r="T173" i="159" s="1"/>
  <c r="T114" i="159" s="1"/>
  <c r="S157" i="159"/>
  <c r="S173" i="159" s="1"/>
  <c r="S114" i="159" s="1"/>
  <c r="R157" i="159"/>
  <c r="R72" i="159" s="1"/>
  <c r="Q157" i="159"/>
  <c r="Q173" i="159" s="1"/>
  <c r="P157" i="159"/>
  <c r="P173" i="159" s="1"/>
  <c r="P114" i="159" s="1"/>
  <c r="O157" i="159"/>
  <c r="O173" i="159" s="1"/>
  <c r="O114" i="159" s="1"/>
  <c r="N157" i="159"/>
  <c r="N72" i="159" s="1"/>
  <c r="M157" i="159"/>
  <c r="M173" i="159" s="1"/>
  <c r="L157" i="159"/>
  <c r="L173" i="159" s="1"/>
  <c r="L114" i="159" s="1"/>
  <c r="K157" i="159"/>
  <c r="K173" i="159" s="1"/>
  <c r="K114" i="159" s="1"/>
  <c r="J157" i="159"/>
  <c r="J72" i="159" s="1"/>
  <c r="I157" i="159"/>
  <c r="I173" i="159" s="1"/>
  <c r="H157" i="159"/>
  <c r="H173" i="159" s="1"/>
  <c r="H114" i="159" s="1"/>
  <c r="G157" i="159"/>
  <c r="G173" i="159" s="1"/>
  <c r="G114" i="159" s="1"/>
  <c r="F157" i="159"/>
  <c r="F72" i="159" s="1"/>
  <c r="E157" i="159"/>
  <c r="E173" i="159" s="1"/>
  <c r="D157" i="159"/>
  <c r="D173" i="159" s="1"/>
  <c r="D114" i="159" s="1"/>
  <c r="C157" i="159"/>
  <c r="AI154" i="159"/>
  <c r="AH154" i="159"/>
  <c r="AG154" i="159"/>
  <c r="AG12" i="159" s="1"/>
  <c r="AF154" i="159"/>
  <c r="AE154" i="159"/>
  <c r="AD154" i="159"/>
  <c r="AC154" i="159"/>
  <c r="AC12" i="159" s="1"/>
  <c r="AB154" i="159"/>
  <c r="AA154" i="159"/>
  <c r="Z154" i="159"/>
  <c r="Y154" i="159"/>
  <c r="Y12" i="159" s="1"/>
  <c r="X154" i="159"/>
  <c r="W154" i="159"/>
  <c r="V154" i="159"/>
  <c r="U154" i="159"/>
  <c r="U12" i="159" s="1"/>
  <c r="T154" i="159"/>
  <c r="S154" i="159"/>
  <c r="R154" i="159"/>
  <c r="Q154" i="159"/>
  <c r="Q12" i="159" s="1"/>
  <c r="P154" i="159"/>
  <c r="O154" i="159"/>
  <c r="N154" i="159"/>
  <c r="M154" i="159"/>
  <c r="M12" i="159" s="1"/>
  <c r="L154" i="159"/>
  <c r="K154" i="159"/>
  <c r="J154" i="159"/>
  <c r="I154" i="159"/>
  <c r="I12" i="159" s="1"/>
  <c r="H154" i="159"/>
  <c r="G154" i="159"/>
  <c r="F154" i="159"/>
  <c r="E154" i="159"/>
  <c r="E12" i="159" s="1"/>
  <c r="D154" i="159"/>
  <c r="C154" i="159"/>
  <c r="C170" i="159" s="1"/>
  <c r="C99" i="159" s="1"/>
  <c r="AI153" i="159"/>
  <c r="AH153" i="159"/>
  <c r="AG153" i="159"/>
  <c r="AG11" i="159" s="1"/>
  <c r="AF153" i="159"/>
  <c r="AE153" i="159"/>
  <c r="AD153" i="159"/>
  <c r="AC153" i="159"/>
  <c r="AC11" i="159" s="1"/>
  <c r="AB153" i="159"/>
  <c r="AA153" i="159"/>
  <c r="Z153" i="159"/>
  <c r="Y153" i="159"/>
  <c r="Y11" i="159" s="1"/>
  <c r="X153" i="159"/>
  <c r="W153" i="159"/>
  <c r="V153" i="159"/>
  <c r="U153" i="159"/>
  <c r="U11" i="159" s="1"/>
  <c r="T153" i="159"/>
  <c r="S153" i="159"/>
  <c r="R153" i="159"/>
  <c r="Q153" i="159"/>
  <c r="Q11" i="159" s="1"/>
  <c r="P153" i="159"/>
  <c r="O153" i="159"/>
  <c r="N153" i="159"/>
  <c r="M153" i="159"/>
  <c r="M11" i="159" s="1"/>
  <c r="L153" i="159"/>
  <c r="K153" i="159"/>
  <c r="J153" i="159"/>
  <c r="I153" i="159"/>
  <c r="I11" i="159" s="1"/>
  <c r="H153" i="159"/>
  <c r="G153" i="159"/>
  <c r="F153" i="159"/>
  <c r="E153" i="159"/>
  <c r="E11" i="159" s="1"/>
  <c r="D153" i="159"/>
  <c r="C153" i="159"/>
  <c r="C169" i="159" s="1"/>
  <c r="C98" i="159" s="1"/>
  <c r="AI152" i="159"/>
  <c r="AH152" i="159"/>
  <c r="AG152" i="159"/>
  <c r="AG10" i="159" s="1"/>
  <c r="AF152" i="159"/>
  <c r="AE152" i="159"/>
  <c r="AD152" i="159"/>
  <c r="AC152" i="159"/>
  <c r="AC10" i="159" s="1"/>
  <c r="AB152" i="159"/>
  <c r="AA152" i="159"/>
  <c r="Z152" i="159"/>
  <c r="Y152" i="159"/>
  <c r="Y10" i="159" s="1"/>
  <c r="X152" i="159"/>
  <c r="W152" i="159"/>
  <c r="V152" i="159"/>
  <c r="U152" i="159"/>
  <c r="U10" i="159" s="1"/>
  <c r="T152" i="159"/>
  <c r="S152" i="159"/>
  <c r="R152" i="159"/>
  <c r="Q152" i="159"/>
  <c r="Q10" i="159" s="1"/>
  <c r="P152" i="159"/>
  <c r="O152" i="159"/>
  <c r="N152" i="159"/>
  <c r="M152" i="159"/>
  <c r="M10" i="159" s="1"/>
  <c r="L152" i="159"/>
  <c r="K152" i="159"/>
  <c r="J152" i="159"/>
  <c r="I152" i="159"/>
  <c r="I10" i="159" s="1"/>
  <c r="H152" i="159"/>
  <c r="G152" i="159"/>
  <c r="F152" i="159"/>
  <c r="E152" i="159"/>
  <c r="E10" i="159" s="1"/>
  <c r="D152" i="159"/>
  <c r="C152" i="159"/>
  <c r="AI151" i="159"/>
  <c r="AH151" i="159"/>
  <c r="AG151" i="159"/>
  <c r="AF151" i="159"/>
  <c r="AE151" i="159"/>
  <c r="AD151" i="159"/>
  <c r="AC151" i="159"/>
  <c r="AB151" i="159"/>
  <c r="AA151" i="159"/>
  <c r="Z151" i="159"/>
  <c r="Y151" i="159"/>
  <c r="X151" i="159"/>
  <c r="W151" i="159"/>
  <c r="V151" i="159"/>
  <c r="U151" i="159"/>
  <c r="T151" i="159"/>
  <c r="S151" i="159"/>
  <c r="R151" i="159"/>
  <c r="Q151" i="159"/>
  <c r="P151" i="159"/>
  <c r="O151" i="159"/>
  <c r="N151" i="159"/>
  <c r="M151" i="159"/>
  <c r="L151" i="159"/>
  <c r="K151" i="159"/>
  <c r="J151" i="159"/>
  <c r="I151" i="159"/>
  <c r="H151" i="159"/>
  <c r="G151" i="159"/>
  <c r="F151" i="159"/>
  <c r="E151" i="159"/>
  <c r="D151" i="159"/>
  <c r="C151" i="159"/>
  <c r="C53" i="159" s="1"/>
  <c r="L78" i="159"/>
  <c r="L13" i="159" s="1"/>
  <c r="K78" i="159"/>
  <c r="K13" i="159" s="1"/>
  <c r="J78" i="159"/>
  <c r="J13" i="159" s="1"/>
  <c r="I78" i="159"/>
  <c r="I13" i="159" s="1"/>
  <c r="H78" i="159"/>
  <c r="H13" i="159" s="1"/>
  <c r="G78" i="159"/>
  <c r="G13" i="159" s="1"/>
  <c r="F78" i="159"/>
  <c r="F13" i="159" s="1"/>
  <c r="E78" i="159"/>
  <c r="E13" i="159" s="1"/>
  <c r="D78" i="159"/>
  <c r="C78" i="159"/>
  <c r="L71" i="159"/>
  <c r="L8" i="159" s="1"/>
  <c r="K71" i="159"/>
  <c r="K8" i="159" s="1"/>
  <c r="J71" i="159"/>
  <c r="J8" i="159" s="1"/>
  <c r="I71" i="159"/>
  <c r="I8" i="159" s="1"/>
  <c r="H71" i="159"/>
  <c r="H8" i="159" s="1"/>
  <c r="G71" i="159"/>
  <c r="G8" i="159" s="1"/>
  <c r="F71" i="159"/>
  <c r="F8" i="159" s="1"/>
  <c r="E71" i="159"/>
  <c r="E8" i="159" s="1"/>
  <c r="D71" i="159"/>
  <c r="D8" i="159" s="1"/>
  <c r="C71" i="159"/>
  <c r="L70" i="159"/>
  <c r="K70" i="159"/>
  <c r="J70" i="159"/>
  <c r="I70" i="159"/>
  <c r="H70" i="159"/>
  <c r="G70" i="159"/>
  <c r="F70" i="159"/>
  <c r="E70" i="159"/>
  <c r="D70" i="159"/>
  <c r="C70" i="159"/>
  <c r="D69" i="159"/>
  <c r="D6" i="159" s="1"/>
  <c r="C69" i="159"/>
  <c r="L51" i="159"/>
  <c r="K51" i="159"/>
  <c r="J51" i="159"/>
  <c r="I51" i="159"/>
  <c r="H51" i="159"/>
  <c r="G51" i="159"/>
  <c r="F51" i="159"/>
  <c r="E51" i="159"/>
  <c r="D51" i="159"/>
  <c r="C51" i="159"/>
  <c r="C124" i="159"/>
  <c r="C123" i="159"/>
  <c r="F113" i="159"/>
  <c r="E113" i="159"/>
  <c r="D113" i="159"/>
  <c r="D30" i="159" s="1"/>
  <c r="C113" i="159"/>
  <c r="H109" i="159"/>
  <c r="H28" i="159" s="1"/>
  <c r="G109" i="159"/>
  <c r="G28" i="159" s="1"/>
  <c r="F109" i="159"/>
  <c r="F28" i="159" s="1"/>
  <c r="E109" i="159"/>
  <c r="E28" i="159" s="1"/>
  <c r="D109" i="159"/>
  <c r="D28" i="159" s="1"/>
  <c r="C109" i="159"/>
  <c r="E9" i="159" l="1"/>
  <c r="I9" i="159"/>
  <c r="M9" i="159"/>
  <c r="M24" i="159" s="1"/>
  <c r="Q9" i="159"/>
  <c r="Q24" i="159" s="1"/>
  <c r="U9" i="159"/>
  <c r="U24" i="159" s="1"/>
  <c r="Y9" i="159"/>
  <c r="Y24" i="159" s="1"/>
  <c r="AC9" i="159"/>
  <c r="AC24" i="159" s="1"/>
  <c r="AG9" i="159"/>
  <c r="AG24" i="159" s="1"/>
  <c r="L168" i="159"/>
  <c r="L10" i="159"/>
  <c r="F167" i="159"/>
  <c r="F96" i="159" s="1"/>
  <c r="F9" i="159"/>
  <c r="V167" i="159"/>
  <c r="V96" i="159" s="1"/>
  <c r="V9" i="159"/>
  <c r="K167" i="159"/>
  <c r="K96" i="159" s="1"/>
  <c r="K31" i="159" s="1"/>
  <c r="K9" i="159"/>
  <c r="S167" i="159"/>
  <c r="S96" i="159" s="1"/>
  <c r="S31" i="159" s="1"/>
  <c r="S9" i="159"/>
  <c r="AA167" i="159"/>
  <c r="AA96" i="159" s="1"/>
  <c r="AA31" i="159" s="1"/>
  <c r="AA9" i="159"/>
  <c r="AA24" i="159" s="1"/>
  <c r="AE167" i="159"/>
  <c r="AE96" i="159" s="1"/>
  <c r="AE31" i="159" s="1"/>
  <c r="AE9" i="159"/>
  <c r="F168" i="159"/>
  <c r="F10" i="159"/>
  <c r="N168" i="159"/>
  <c r="N10" i="159"/>
  <c r="V168" i="159"/>
  <c r="V10" i="159"/>
  <c r="AD168" i="159"/>
  <c r="AD10" i="159"/>
  <c r="AH168" i="159"/>
  <c r="AH10" i="159"/>
  <c r="H170" i="159"/>
  <c r="H99" i="159" s="1"/>
  <c r="H12" i="159"/>
  <c r="X170" i="159"/>
  <c r="X99" i="159" s="1"/>
  <c r="X12" i="159"/>
  <c r="H53" i="159"/>
  <c r="H9" i="159"/>
  <c r="L167" i="159"/>
  <c r="L96" i="159" s="1"/>
  <c r="L31" i="159" s="1"/>
  <c r="L9" i="159"/>
  <c r="P167" i="159"/>
  <c r="P96" i="159" s="1"/>
  <c r="P31" i="159" s="1"/>
  <c r="P9" i="159"/>
  <c r="T167" i="159"/>
  <c r="T96" i="159" s="1"/>
  <c r="T31" i="159" s="1"/>
  <c r="T9" i="159"/>
  <c r="X167" i="159"/>
  <c r="X96" i="159" s="1"/>
  <c r="X9" i="159"/>
  <c r="AB167" i="159"/>
  <c r="AB96" i="159" s="1"/>
  <c r="AB9" i="159"/>
  <c r="AF167" i="159"/>
  <c r="AF96" i="159" s="1"/>
  <c r="AF9" i="159"/>
  <c r="G168" i="159"/>
  <c r="G10" i="159"/>
  <c r="K168" i="159"/>
  <c r="K10" i="159"/>
  <c r="O168" i="159"/>
  <c r="O10" i="159"/>
  <c r="S168" i="159"/>
  <c r="S10" i="159"/>
  <c r="W168" i="159"/>
  <c r="W10" i="159"/>
  <c r="AA168" i="159"/>
  <c r="AA10" i="159"/>
  <c r="AE168" i="159"/>
  <c r="AE10" i="159"/>
  <c r="AI168" i="159"/>
  <c r="AI10" i="159"/>
  <c r="F169" i="159"/>
  <c r="F11" i="159"/>
  <c r="J169" i="159"/>
  <c r="J11" i="159"/>
  <c r="N169" i="159"/>
  <c r="N11" i="159"/>
  <c r="R169" i="159"/>
  <c r="R11" i="159"/>
  <c r="V169" i="159"/>
  <c r="V11" i="159"/>
  <c r="Z169" i="159"/>
  <c r="Z11" i="159"/>
  <c r="AD169" i="159"/>
  <c r="AD11" i="159"/>
  <c r="AH169" i="159"/>
  <c r="AH11" i="159"/>
  <c r="H168" i="159"/>
  <c r="H10" i="159"/>
  <c r="P168" i="159"/>
  <c r="P10" i="159"/>
  <c r="T168" i="159"/>
  <c r="T10" i="159"/>
  <c r="X168" i="159"/>
  <c r="X10" i="159"/>
  <c r="AB168" i="159"/>
  <c r="AB10" i="159"/>
  <c r="AF168" i="159"/>
  <c r="AF10" i="159"/>
  <c r="G169" i="159"/>
  <c r="G11" i="159"/>
  <c r="K169" i="159"/>
  <c r="K11" i="159"/>
  <c r="O169" i="159"/>
  <c r="O11" i="159"/>
  <c r="S169" i="159"/>
  <c r="S11" i="159"/>
  <c r="W169" i="159"/>
  <c r="W11" i="159"/>
  <c r="AA169" i="159"/>
  <c r="AA11" i="159"/>
  <c r="AE169" i="159"/>
  <c r="AE11" i="159"/>
  <c r="AI169" i="159"/>
  <c r="AI11" i="159"/>
  <c r="F170" i="159"/>
  <c r="F99" i="159" s="1"/>
  <c r="F12" i="159"/>
  <c r="J170" i="159"/>
  <c r="J99" i="159" s="1"/>
  <c r="J12" i="159"/>
  <c r="N170" i="159"/>
  <c r="N99" i="159" s="1"/>
  <c r="N12" i="159"/>
  <c r="R170" i="159"/>
  <c r="R99" i="159" s="1"/>
  <c r="R12" i="159"/>
  <c r="V170" i="159"/>
  <c r="V99" i="159" s="1"/>
  <c r="V12" i="159"/>
  <c r="Z170" i="159"/>
  <c r="Z99" i="159" s="1"/>
  <c r="Z12" i="159"/>
  <c r="AD170" i="159"/>
  <c r="AD99" i="159" s="1"/>
  <c r="AD12" i="159"/>
  <c r="AH170" i="159"/>
  <c r="AH99" i="159" s="1"/>
  <c r="AH12" i="159"/>
  <c r="AB34" i="159"/>
  <c r="J167" i="159"/>
  <c r="J96" i="159" s="1"/>
  <c r="J9" i="159"/>
  <c r="N167" i="159"/>
  <c r="N96" i="159" s="1"/>
  <c r="N9" i="159"/>
  <c r="R167" i="159"/>
  <c r="R96" i="159" s="1"/>
  <c r="R9" i="159"/>
  <c r="Z167" i="159"/>
  <c r="Z96" i="159" s="1"/>
  <c r="Z9" i="159"/>
  <c r="AD167" i="159"/>
  <c r="AD96" i="159" s="1"/>
  <c r="AD9" i="159"/>
  <c r="AH167" i="159"/>
  <c r="AH96" i="159" s="1"/>
  <c r="AH9" i="159"/>
  <c r="H169" i="159"/>
  <c r="H11" i="159"/>
  <c r="L169" i="159"/>
  <c r="L11" i="159"/>
  <c r="P169" i="159"/>
  <c r="P11" i="159"/>
  <c r="T169" i="159"/>
  <c r="T11" i="159"/>
  <c r="X169" i="159"/>
  <c r="X11" i="159"/>
  <c r="AB169" i="159"/>
  <c r="AB11" i="159"/>
  <c r="AF169" i="159"/>
  <c r="AF11" i="159"/>
  <c r="G170" i="159"/>
  <c r="G99" i="159" s="1"/>
  <c r="G12" i="159"/>
  <c r="K170" i="159"/>
  <c r="K99" i="159" s="1"/>
  <c r="K12" i="159"/>
  <c r="O170" i="159"/>
  <c r="O99" i="159" s="1"/>
  <c r="O12" i="159"/>
  <c r="S170" i="159"/>
  <c r="S99" i="159" s="1"/>
  <c r="S12" i="159"/>
  <c r="W170" i="159"/>
  <c r="W99" i="159" s="1"/>
  <c r="W12" i="159"/>
  <c r="AA170" i="159"/>
  <c r="AA99" i="159" s="1"/>
  <c r="AA12" i="159"/>
  <c r="AE170" i="159"/>
  <c r="AE99" i="159" s="1"/>
  <c r="AE12" i="159"/>
  <c r="AI170" i="159"/>
  <c r="AI99" i="159" s="1"/>
  <c r="AI12" i="159"/>
  <c r="E178" i="159"/>
  <c r="E119" i="159" s="1"/>
  <c r="I178" i="159"/>
  <c r="I119" i="159" s="1"/>
  <c r="M178" i="159"/>
  <c r="M119" i="159" s="1"/>
  <c r="Q178" i="159"/>
  <c r="Q119" i="159" s="1"/>
  <c r="U178" i="159"/>
  <c r="U119" i="159" s="1"/>
  <c r="Y178" i="159"/>
  <c r="Y119" i="159" s="1"/>
  <c r="G167" i="159"/>
  <c r="G96" i="159" s="1"/>
  <c r="G31" i="159" s="1"/>
  <c r="G9" i="159"/>
  <c r="O167" i="159"/>
  <c r="O96" i="159" s="1"/>
  <c r="O31" i="159" s="1"/>
  <c r="O9" i="159"/>
  <c r="W167" i="159"/>
  <c r="W96" i="159" s="1"/>
  <c r="W31" i="159" s="1"/>
  <c r="W9" i="159"/>
  <c r="AI167" i="159"/>
  <c r="AI96" i="159" s="1"/>
  <c r="AI31" i="159" s="1"/>
  <c r="AI9" i="159"/>
  <c r="AI24" i="159" s="1"/>
  <c r="J168" i="159"/>
  <c r="J10" i="159"/>
  <c r="R168" i="159"/>
  <c r="R10" i="159"/>
  <c r="Z168" i="159"/>
  <c r="Z10" i="159"/>
  <c r="L170" i="159"/>
  <c r="L99" i="159" s="1"/>
  <c r="L12" i="159"/>
  <c r="P170" i="159"/>
  <c r="P99" i="159" s="1"/>
  <c r="P12" i="159"/>
  <c r="T170" i="159"/>
  <c r="T99" i="159" s="1"/>
  <c r="T12" i="159"/>
  <c r="AB170" i="159"/>
  <c r="AB99" i="159" s="1"/>
  <c r="AB12" i="159"/>
  <c r="AF170" i="159"/>
  <c r="AF99" i="159" s="1"/>
  <c r="AF12" i="159"/>
  <c r="F178" i="159"/>
  <c r="F119" i="159" s="1"/>
  <c r="J178" i="159"/>
  <c r="J119" i="159" s="1"/>
  <c r="N178" i="159"/>
  <c r="N119" i="159" s="1"/>
  <c r="R178" i="159"/>
  <c r="R119" i="159" s="1"/>
  <c r="V178" i="159"/>
  <c r="V119" i="159" s="1"/>
  <c r="Z178" i="159"/>
  <c r="Z119" i="159" s="1"/>
  <c r="AD178" i="159"/>
  <c r="AD119" i="159" s="1"/>
  <c r="AH178" i="159"/>
  <c r="AH119" i="159" s="1"/>
  <c r="D167" i="159"/>
  <c r="D96" i="159" s="1"/>
  <c r="D9" i="159"/>
  <c r="K7" i="159"/>
  <c r="D168" i="159"/>
  <c r="D10" i="159"/>
  <c r="F7" i="159"/>
  <c r="H7" i="159"/>
  <c r="H24" i="159" s="1"/>
  <c r="D13" i="159"/>
  <c r="D169" i="159"/>
  <c r="D11" i="159"/>
  <c r="J7" i="159"/>
  <c r="G7" i="159"/>
  <c r="D7" i="159"/>
  <c r="L7" i="159"/>
  <c r="E7" i="159"/>
  <c r="E24" i="159" s="1"/>
  <c r="I7" i="159"/>
  <c r="I24" i="159" s="1"/>
  <c r="D170" i="159"/>
  <c r="D99" i="159" s="1"/>
  <c r="D12" i="159"/>
  <c r="R53" i="159"/>
  <c r="D55" i="159"/>
  <c r="X55" i="159"/>
  <c r="S56" i="159"/>
  <c r="C75" i="159"/>
  <c r="U73" i="159"/>
  <c r="AC74" i="159"/>
  <c r="H75" i="159"/>
  <c r="X75" i="159"/>
  <c r="K76" i="159"/>
  <c r="AA76" i="159"/>
  <c r="I77" i="159"/>
  <c r="AD77" i="159"/>
  <c r="C56" i="159"/>
  <c r="Z53" i="159"/>
  <c r="H55" i="159"/>
  <c r="AB55" i="159"/>
  <c r="W56" i="159"/>
  <c r="E73" i="159"/>
  <c r="Y73" i="159"/>
  <c r="AG74" i="159"/>
  <c r="L75" i="159"/>
  <c r="AB75" i="159"/>
  <c r="O76" i="159"/>
  <c r="AE76" i="159"/>
  <c r="Q77" i="159"/>
  <c r="AH77" i="159"/>
  <c r="J53" i="159"/>
  <c r="AD53" i="159"/>
  <c r="L55" i="159"/>
  <c r="G56" i="159"/>
  <c r="AE56" i="159"/>
  <c r="M73" i="159"/>
  <c r="AC73" i="159"/>
  <c r="D75" i="159"/>
  <c r="P75" i="159"/>
  <c r="AF75" i="159"/>
  <c r="S76" i="159"/>
  <c r="AI76" i="159"/>
  <c r="U77" i="159"/>
  <c r="N53" i="159"/>
  <c r="AH53" i="159"/>
  <c r="T55" i="159"/>
  <c r="O56" i="159"/>
  <c r="AI56" i="159"/>
  <c r="Q73" i="159"/>
  <c r="AG73" i="159"/>
  <c r="G75" i="159"/>
  <c r="T75" i="159"/>
  <c r="G76" i="159"/>
  <c r="W76" i="159"/>
  <c r="E77" i="159"/>
  <c r="Y77" i="159"/>
  <c r="E167" i="159"/>
  <c r="E53" i="159"/>
  <c r="M53" i="159"/>
  <c r="U53" i="159"/>
  <c r="I114" i="159"/>
  <c r="Q114" i="159"/>
  <c r="Y114" i="159"/>
  <c r="AG114" i="159"/>
  <c r="X174" i="159"/>
  <c r="X115" i="159" s="1"/>
  <c r="X73" i="159"/>
  <c r="AB174" i="159"/>
  <c r="AB115" i="159" s="1"/>
  <c r="AB73" i="159"/>
  <c r="J176" i="159"/>
  <c r="J117" i="159" s="1"/>
  <c r="J75" i="159"/>
  <c r="R176" i="159"/>
  <c r="R117" i="159" s="1"/>
  <c r="R75" i="159"/>
  <c r="Z176" i="159"/>
  <c r="Z117" i="159" s="1"/>
  <c r="Z75" i="159"/>
  <c r="H178" i="159"/>
  <c r="H119" i="159" s="1"/>
  <c r="H77" i="159"/>
  <c r="P178" i="159"/>
  <c r="P119" i="159" s="1"/>
  <c r="P77" i="159"/>
  <c r="AF178" i="159"/>
  <c r="AF119" i="159" s="1"/>
  <c r="AF77" i="159"/>
  <c r="D53" i="159"/>
  <c r="O53" i="159"/>
  <c r="T53" i="159"/>
  <c r="AE53" i="159"/>
  <c r="D54" i="159"/>
  <c r="J54" i="159"/>
  <c r="O54" i="159"/>
  <c r="T54" i="159"/>
  <c r="Z54" i="159"/>
  <c r="AE54" i="159"/>
  <c r="J55" i="159"/>
  <c r="O55" i="159"/>
  <c r="Z55" i="159"/>
  <c r="AE55" i="159"/>
  <c r="D56" i="159"/>
  <c r="J56" i="159"/>
  <c r="T56" i="159"/>
  <c r="Z56" i="159"/>
  <c r="C77" i="159"/>
  <c r="H72" i="159"/>
  <c r="M72" i="159"/>
  <c r="S72" i="159"/>
  <c r="X72" i="159"/>
  <c r="AC72" i="159"/>
  <c r="AI72" i="159"/>
  <c r="H73" i="159"/>
  <c r="S73" i="159"/>
  <c r="I74" i="159"/>
  <c r="Q74" i="159"/>
  <c r="Y74" i="159"/>
  <c r="M75" i="159"/>
  <c r="U75" i="159"/>
  <c r="AC75" i="159"/>
  <c r="I53" i="159"/>
  <c r="Q167" i="159"/>
  <c r="Q53" i="159"/>
  <c r="Y167" i="159"/>
  <c r="Y53" i="159"/>
  <c r="AC53" i="159"/>
  <c r="AG167" i="159"/>
  <c r="AG53" i="159"/>
  <c r="E114" i="159"/>
  <c r="M114" i="159"/>
  <c r="U114" i="159"/>
  <c r="AC114" i="159"/>
  <c r="AF174" i="159"/>
  <c r="AF115" i="159" s="1"/>
  <c r="AF73" i="159"/>
  <c r="F176" i="159"/>
  <c r="F117" i="159" s="1"/>
  <c r="F75" i="159"/>
  <c r="N176" i="159"/>
  <c r="N117" i="159" s="1"/>
  <c r="N75" i="159"/>
  <c r="V176" i="159"/>
  <c r="V117" i="159" s="1"/>
  <c r="V75" i="159"/>
  <c r="AD176" i="159"/>
  <c r="AD117" i="159" s="1"/>
  <c r="AD75" i="159"/>
  <c r="AH176" i="159"/>
  <c r="AH117" i="159" s="1"/>
  <c r="AH75" i="159"/>
  <c r="D178" i="159"/>
  <c r="D119" i="159" s="1"/>
  <c r="D77" i="159"/>
  <c r="L178" i="159"/>
  <c r="L119" i="159" s="1"/>
  <c r="L77" i="159"/>
  <c r="T178" i="159"/>
  <c r="T119" i="159" s="1"/>
  <c r="T77" i="159"/>
  <c r="X178" i="159"/>
  <c r="X119" i="159" s="1"/>
  <c r="X77" i="159"/>
  <c r="AB178" i="159"/>
  <c r="AB119" i="159" s="1"/>
  <c r="AB77" i="159"/>
  <c r="E168" i="159"/>
  <c r="E54" i="159"/>
  <c r="I168" i="159"/>
  <c r="I54" i="159"/>
  <c r="M168" i="159"/>
  <c r="M54" i="159"/>
  <c r="Q168" i="159"/>
  <c r="Q54" i="159"/>
  <c r="U168" i="159"/>
  <c r="U54" i="159"/>
  <c r="Y168" i="159"/>
  <c r="Y54" i="159"/>
  <c r="AC168" i="159"/>
  <c r="AC54" i="159"/>
  <c r="AG168" i="159"/>
  <c r="AG54" i="159"/>
  <c r="D175" i="159"/>
  <c r="D116" i="159" s="1"/>
  <c r="D74" i="159"/>
  <c r="H175" i="159"/>
  <c r="H116" i="159" s="1"/>
  <c r="H74" i="159"/>
  <c r="L175" i="159"/>
  <c r="L116" i="159" s="1"/>
  <c r="L74" i="159"/>
  <c r="P175" i="159"/>
  <c r="P116" i="159" s="1"/>
  <c r="P74" i="159"/>
  <c r="T175" i="159"/>
  <c r="T116" i="159" s="1"/>
  <c r="T74" i="159"/>
  <c r="X175" i="159"/>
  <c r="X116" i="159" s="1"/>
  <c r="X74" i="159"/>
  <c r="AB175" i="159"/>
  <c r="AB116" i="159" s="1"/>
  <c r="AB74" i="159"/>
  <c r="AF175" i="159"/>
  <c r="AF116" i="159" s="1"/>
  <c r="AF74" i="159"/>
  <c r="K176" i="159"/>
  <c r="K117" i="159" s="1"/>
  <c r="K75" i="159"/>
  <c r="O176" i="159"/>
  <c r="O117" i="159" s="1"/>
  <c r="O75" i="159"/>
  <c r="S176" i="159"/>
  <c r="S117" i="159" s="1"/>
  <c r="S75" i="159"/>
  <c r="W176" i="159"/>
  <c r="W117" i="159" s="1"/>
  <c r="W75" i="159"/>
  <c r="AA176" i="159"/>
  <c r="AA117" i="159" s="1"/>
  <c r="AA75" i="159"/>
  <c r="AE176" i="159"/>
  <c r="AE117" i="159" s="1"/>
  <c r="AE75" i="159"/>
  <c r="AI176" i="159"/>
  <c r="AI117" i="159" s="1"/>
  <c r="AI75" i="159"/>
  <c r="F177" i="159"/>
  <c r="F118" i="159" s="1"/>
  <c r="F76" i="159"/>
  <c r="J177" i="159"/>
  <c r="J118" i="159" s="1"/>
  <c r="J76" i="159"/>
  <c r="N177" i="159"/>
  <c r="N118" i="159" s="1"/>
  <c r="N76" i="159"/>
  <c r="R177" i="159"/>
  <c r="R118" i="159" s="1"/>
  <c r="R76" i="159"/>
  <c r="V177" i="159"/>
  <c r="V118" i="159" s="1"/>
  <c r="V76" i="159"/>
  <c r="Z177" i="159"/>
  <c r="Z118" i="159" s="1"/>
  <c r="Z76" i="159"/>
  <c r="AD177" i="159"/>
  <c r="AD118" i="159" s="1"/>
  <c r="AD76" i="159"/>
  <c r="AH177" i="159"/>
  <c r="AH118" i="159" s="1"/>
  <c r="AH76" i="159"/>
  <c r="AC178" i="159"/>
  <c r="AC119" i="159" s="1"/>
  <c r="AC77" i="159"/>
  <c r="AG178" i="159"/>
  <c r="AG119" i="159" s="1"/>
  <c r="AG77" i="159"/>
  <c r="F53" i="159"/>
  <c r="K53" i="159"/>
  <c r="P53" i="159"/>
  <c r="V53" i="159"/>
  <c r="AA53" i="159"/>
  <c r="AF53" i="159"/>
  <c r="F54" i="159"/>
  <c r="K54" i="159"/>
  <c r="P54" i="159"/>
  <c r="V54" i="159"/>
  <c r="AA54" i="159"/>
  <c r="AF54" i="159"/>
  <c r="F55" i="159"/>
  <c r="K55" i="159"/>
  <c r="P55" i="159"/>
  <c r="V55" i="159"/>
  <c r="AA55" i="159"/>
  <c r="AF55" i="159"/>
  <c r="F56" i="159"/>
  <c r="K56" i="159"/>
  <c r="P56" i="159"/>
  <c r="V56" i="159"/>
  <c r="AA56" i="159"/>
  <c r="AF56" i="159"/>
  <c r="C73" i="159"/>
  <c r="D72" i="159"/>
  <c r="I72" i="159"/>
  <c r="O72" i="159"/>
  <c r="T72" i="159"/>
  <c r="Y72" i="159"/>
  <c r="AE72" i="159"/>
  <c r="D73" i="159"/>
  <c r="I73" i="159"/>
  <c r="O73" i="159"/>
  <c r="T73" i="159"/>
  <c r="AA73" i="159"/>
  <c r="AI73" i="159"/>
  <c r="K74" i="159"/>
  <c r="S74" i="159"/>
  <c r="AA74" i="159"/>
  <c r="AI74" i="159"/>
  <c r="I76" i="159"/>
  <c r="Q76" i="159"/>
  <c r="Y76" i="159"/>
  <c r="AG76" i="159"/>
  <c r="M77" i="159"/>
  <c r="E169" i="159"/>
  <c r="E55" i="159"/>
  <c r="I169" i="159"/>
  <c r="I55" i="159"/>
  <c r="M169" i="159"/>
  <c r="M55" i="159"/>
  <c r="Q169" i="159"/>
  <c r="Q55" i="159"/>
  <c r="U169" i="159"/>
  <c r="U55" i="159"/>
  <c r="Y169" i="159"/>
  <c r="Y55" i="159"/>
  <c r="AC169" i="159"/>
  <c r="AC55" i="159"/>
  <c r="AG169" i="159"/>
  <c r="AG55" i="159"/>
  <c r="C173" i="159"/>
  <c r="C114" i="159" s="1"/>
  <c r="C131" i="159" s="1"/>
  <c r="C72" i="159"/>
  <c r="F174" i="159"/>
  <c r="F115" i="159" s="1"/>
  <c r="F73" i="159"/>
  <c r="J174" i="159"/>
  <c r="J115" i="159" s="1"/>
  <c r="J73" i="159"/>
  <c r="N174" i="159"/>
  <c r="N115" i="159" s="1"/>
  <c r="N73" i="159"/>
  <c r="R174" i="159"/>
  <c r="R115" i="159" s="1"/>
  <c r="R73" i="159"/>
  <c r="V174" i="159"/>
  <c r="V115" i="159" s="1"/>
  <c r="V73" i="159"/>
  <c r="Z174" i="159"/>
  <c r="Z115" i="159" s="1"/>
  <c r="Z73" i="159"/>
  <c r="AD174" i="159"/>
  <c r="AD115" i="159" s="1"/>
  <c r="AD73" i="159"/>
  <c r="AH174" i="159"/>
  <c r="AH115" i="159" s="1"/>
  <c r="AH73" i="159"/>
  <c r="C55" i="159"/>
  <c r="G53" i="159"/>
  <c r="L53" i="159"/>
  <c r="W53" i="159"/>
  <c r="AB53" i="159"/>
  <c r="G54" i="159"/>
  <c r="L54" i="159"/>
  <c r="R54" i="159"/>
  <c r="W54" i="159"/>
  <c r="AB54" i="159"/>
  <c r="AH54" i="159"/>
  <c r="G55" i="159"/>
  <c r="R55" i="159"/>
  <c r="W55" i="159"/>
  <c r="AH55" i="159"/>
  <c r="L56" i="159"/>
  <c r="R56" i="159"/>
  <c r="AB56" i="159"/>
  <c r="AH56" i="159"/>
  <c r="C74" i="159"/>
  <c r="E72" i="159"/>
  <c r="K72" i="159"/>
  <c r="P72" i="159"/>
  <c r="U72" i="159"/>
  <c r="AA72" i="159"/>
  <c r="AF72" i="159"/>
  <c r="K73" i="159"/>
  <c r="P73" i="159"/>
  <c r="E74" i="159"/>
  <c r="M74" i="159"/>
  <c r="U74" i="159"/>
  <c r="I75" i="159"/>
  <c r="Q75" i="159"/>
  <c r="Y75" i="159"/>
  <c r="AG75" i="159"/>
  <c r="C168" i="159"/>
  <c r="C97" i="159" s="1"/>
  <c r="C54" i="159"/>
  <c r="E170" i="159"/>
  <c r="E99" i="159" s="1"/>
  <c r="E56" i="159"/>
  <c r="I170" i="159"/>
  <c r="I99" i="159" s="1"/>
  <c r="I56" i="159"/>
  <c r="M170" i="159"/>
  <c r="M99" i="159" s="1"/>
  <c r="M56" i="159"/>
  <c r="Q170" i="159"/>
  <c r="Q99" i="159" s="1"/>
  <c r="Q56" i="159"/>
  <c r="U170" i="159"/>
  <c r="U99" i="159" s="1"/>
  <c r="U56" i="159"/>
  <c r="Y170" i="159"/>
  <c r="Y99" i="159" s="1"/>
  <c r="Y56" i="159"/>
  <c r="AC170" i="159"/>
  <c r="AC99" i="159" s="1"/>
  <c r="AC56" i="159"/>
  <c r="AG170" i="159"/>
  <c r="AG99" i="159" s="1"/>
  <c r="AG56" i="159"/>
  <c r="F175" i="159"/>
  <c r="F116" i="159" s="1"/>
  <c r="F74" i="159"/>
  <c r="J175" i="159"/>
  <c r="J116" i="159" s="1"/>
  <c r="J74" i="159"/>
  <c r="N175" i="159"/>
  <c r="N116" i="159" s="1"/>
  <c r="N74" i="159"/>
  <c r="R175" i="159"/>
  <c r="R116" i="159" s="1"/>
  <c r="R74" i="159"/>
  <c r="V175" i="159"/>
  <c r="V116" i="159" s="1"/>
  <c r="V74" i="159"/>
  <c r="Z175" i="159"/>
  <c r="Z116" i="159" s="1"/>
  <c r="Z74" i="159"/>
  <c r="AD175" i="159"/>
  <c r="AD116" i="159" s="1"/>
  <c r="AD74" i="159"/>
  <c r="AH175" i="159"/>
  <c r="AH116" i="159" s="1"/>
  <c r="AH74" i="159"/>
  <c r="D177" i="159"/>
  <c r="D118" i="159" s="1"/>
  <c r="D76" i="159"/>
  <c r="H177" i="159"/>
  <c r="H118" i="159" s="1"/>
  <c r="H76" i="159"/>
  <c r="L177" i="159"/>
  <c r="L118" i="159" s="1"/>
  <c r="L76" i="159"/>
  <c r="P177" i="159"/>
  <c r="P118" i="159" s="1"/>
  <c r="P76" i="159"/>
  <c r="T177" i="159"/>
  <c r="T118" i="159" s="1"/>
  <c r="T76" i="159"/>
  <c r="X177" i="159"/>
  <c r="X118" i="159" s="1"/>
  <c r="X76" i="159"/>
  <c r="AB177" i="159"/>
  <c r="AB118" i="159" s="1"/>
  <c r="AB76" i="159"/>
  <c r="AF177" i="159"/>
  <c r="AF118" i="159" s="1"/>
  <c r="AF76" i="159"/>
  <c r="G178" i="159"/>
  <c r="G119" i="159" s="1"/>
  <c r="G77" i="159"/>
  <c r="K178" i="159"/>
  <c r="K119" i="159" s="1"/>
  <c r="K77" i="159"/>
  <c r="O178" i="159"/>
  <c r="O119" i="159" s="1"/>
  <c r="O77" i="159"/>
  <c r="S178" i="159"/>
  <c r="S119" i="159" s="1"/>
  <c r="S77" i="159"/>
  <c r="W178" i="159"/>
  <c r="W119" i="159" s="1"/>
  <c r="W77" i="159"/>
  <c r="AA178" i="159"/>
  <c r="AA119" i="159" s="1"/>
  <c r="AA77" i="159"/>
  <c r="AE178" i="159"/>
  <c r="AE119" i="159" s="1"/>
  <c r="AE77" i="159"/>
  <c r="AI178" i="159"/>
  <c r="AI119" i="159" s="1"/>
  <c r="AI77" i="159"/>
  <c r="S53" i="159"/>
  <c r="X53" i="159"/>
  <c r="AI53" i="159"/>
  <c r="H54" i="159"/>
  <c r="N54" i="159"/>
  <c r="S54" i="159"/>
  <c r="X54" i="159"/>
  <c r="AD54" i="159"/>
  <c r="AI54" i="159"/>
  <c r="N55" i="159"/>
  <c r="S55" i="159"/>
  <c r="AD55" i="159"/>
  <c r="AI55" i="159"/>
  <c r="H56" i="159"/>
  <c r="N56" i="159"/>
  <c r="X56" i="159"/>
  <c r="AD56" i="159"/>
  <c r="G72" i="159"/>
  <c r="L72" i="159"/>
  <c r="Q72" i="159"/>
  <c r="W72" i="159"/>
  <c r="AB72" i="159"/>
  <c r="AG72" i="159"/>
  <c r="G73" i="159"/>
  <c r="L73" i="159"/>
  <c r="W73" i="159"/>
  <c r="AE73" i="159"/>
  <c r="G74" i="159"/>
  <c r="O74" i="159"/>
  <c r="W74" i="159"/>
  <c r="AE74" i="159"/>
  <c r="E75" i="159"/>
  <c r="E76" i="159"/>
  <c r="M76" i="159"/>
  <c r="U76" i="159"/>
  <c r="AC76" i="159"/>
  <c r="C76" i="159"/>
  <c r="F77" i="159"/>
  <c r="J77" i="159"/>
  <c r="N77" i="159"/>
  <c r="R77" i="159"/>
  <c r="V77" i="159"/>
  <c r="Z77" i="159"/>
  <c r="C167" i="159"/>
  <c r="H167" i="159"/>
  <c r="M167" i="159"/>
  <c r="U167" i="159"/>
  <c r="AC167" i="159"/>
  <c r="F173" i="159"/>
  <c r="J173" i="159"/>
  <c r="N173" i="159"/>
  <c r="V173" i="159"/>
  <c r="Z173" i="159"/>
  <c r="AD173" i="159"/>
  <c r="AH173" i="159"/>
  <c r="H206" i="159"/>
  <c r="I167" i="159"/>
  <c r="R173" i="159"/>
  <c r="L24" i="159" l="1"/>
  <c r="F24" i="159"/>
  <c r="AD34" i="159"/>
  <c r="V34" i="159"/>
  <c r="N34" i="159"/>
  <c r="F34" i="159"/>
  <c r="W24" i="159"/>
  <c r="X34" i="159"/>
  <c r="AD24" i="159"/>
  <c r="AH34" i="159"/>
  <c r="Z34" i="159"/>
  <c r="R34" i="159"/>
  <c r="J34" i="159"/>
  <c r="O24" i="159"/>
  <c r="AC34" i="159"/>
  <c r="AF31" i="159"/>
  <c r="AF98" i="159"/>
  <c r="AF33" i="159"/>
  <c r="X98" i="159"/>
  <c r="X33" i="159"/>
  <c r="P98" i="159"/>
  <c r="P33" i="159"/>
  <c r="H98" i="159"/>
  <c r="H33" i="159"/>
  <c r="R31" i="159"/>
  <c r="H34" i="159"/>
  <c r="AE98" i="159"/>
  <c r="AE33" i="159"/>
  <c r="W98" i="159"/>
  <c r="W33" i="159"/>
  <c r="O98" i="159"/>
  <c r="O33" i="159"/>
  <c r="G98" i="159"/>
  <c r="G33" i="159"/>
  <c r="AB97" i="159"/>
  <c r="AB32" i="159"/>
  <c r="T97" i="159"/>
  <c r="T32" i="159"/>
  <c r="H97" i="159"/>
  <c r="H32" i="159"/>
  <c r="W34" i="159"/>
  <c r="G34" i="159"/>
  <c r="AD98" i="159"/>
  <c r="AD33" i="159"/>
  <c r="V98" i="159"/>
  <c r="V33" i="159"/>
  <c r="N98" i="159"/>
  <c r="N33" i="159"/>
  <c r="F98" i="159"/>
  <c r="F33" i="159"/>
  <c r="AE97" i="159"/>
  <c r="AE131" i="159" s="1"/>
  <c r="AE32" i="159"/>
  <c r="W97" i="159"/>
  <c r="W32" i="159"/>
  <c r="W43" i="159" s="1"/>
  <c r="W45" i="159" s="1"/>
  <c r="O97" i="159"/>
  <c r="O32" i="159"/>
  <c r="G97" i="159"/>
  <c r="G32" i="159"/>
  <c r="G43" i="159" s="1"/>
  <c r="AB31" i="159"/>
  <c r="AG98" i="159"/>
  <c r="AG33" i="159"/>
  <c r="Y98" i="159"/>
  <c r="Y33" i="159"/>
  <c r="Q98" i="159"/>
  <c r="Q33" i="159"/>
  <c r="I98" i="159"/>
  <c r="I33" i="159"/>
  <c r="AG97" i="159"/>
  <c r="AG32" i="159"/>
  <c r="Y97" i="159"/>
  <c r="Y32" i="159"/>
  <c r="Q97" i="159"/>
  <c r="Q32" i="159"/>
  <c r="I97" i="159"/>
  <c r="I32" i="159"/>
  <c r="D34" i="159"/>
  <c r="Z97" i="159"/>
  <c r="Z32" i="159"/>
  <c r="J97" i="159"/>
  <c r="J32" i="159"/>
  <c r="AG34" i="159"/>
  <c r="U34" i="159"/>
  <c r="M34" i="159"/>
  <c r="E34" i="159"/>
  <c r="AH24" i="159"/>
  <c r="Z24" i="159"/>
  <c r="N24" i="159"/>
  <c r="T34" i="159"/>
  <c r="AI34" i="159"/>
  <c r="S34" i="159"/>
  <c r="AF24" i="159"/>
  <c r="X24" i="159"/>
  <c r="P24" i="159"/>
  <c r="AH97" i="159"/>
  <c r="AH32" i="159"/>
  <c r="V97" i="159"/>
  <c r="V32" i="159"/>
  <c r="F97" i="159"/>
  <c r="F32" i="159"/>
  <c r="G131" i="159"/>
  <c r="G24" i="159"/>
  <c r="AB98" i="159"/>
  <c r="AB33" i="159"/>
  <c r="T98" i="159"/>
  <c r="T33" i="159"/>
  <c r="T43" i="159" s="1"/>
  <c r="L98" i="159"/>
  <c r="L33" i="159"/>
  <c r="AF34" i="159"/>
  <c r="P34" i="159"/>
  <c r="AI98" i="159"/>
  <c r="AI33" i="159"/>
  <c r="AA98" i="159"/>
  <c r="AA33" i="159"/>
  <c r="S98" i="159"/>
  <c r="S33" i="159"/>
  <c r="K98" i="159"/>
  <c r="K33" i="159"/>
  <c r="AF97" i="159"/>
  <c r="AF32" i="159"/>
  <c r="AF43" i="159" s="1"/>
  <c r="AF45" i="159" s="1"/>
  <c r="X97" i="159"/>
  <c r="X131" i="159" s="1"/>
  <c r="X32" i="159"/>
  <c r="P97" i="159"/>
  <c r="P32" i="159"/>
  <c r="AE34" i="159"/>
  <c r="O34" i="159"/>
  <c r="O43" i="159" s="1"/>
  <c r="O45" i="159" s="1"/>
  <c r="AH98" i="159"/>
  <c r="AH33" i="159"/>
  <c r="Z98" i="159"/>
  <c r="Z33" i="159"/>
  <c r="R98" i="159"/>
  <c r="R33" i="159"/>
  <c r="J98" i="159"/>
  <c r="J33" i="159"/>
  <c r="AI97" i="159"/>
  <c r="AI131" i="159" s="1"/>
  <c r="AI32" i="159"/>
  <c r="AA97" i="159"/>
  <c r="AA131" i="159" s="1"/>
  <c r="AA32" i="159"/>
  <c r="S97" i="159"/>
  <c r="S131" i="159" s="1"/>
  <c r="S32" i="159"/>
  <c r="K97" i="159"/>
  <c r="K32" i="159"/>
  <c r="K43" i="159" s="1"/>
  <c r="K45" i="159" s="1"/>
  <c r="X31" i="159"/>
  <c r="AE24" i="159"/>
  <c r="S24" i="159"/>
  <c r="V24" i="159"/>
  <c r="AC98" i="159"/>
  <c r="AC33" i="159"/>
  <c r="U98" i="159"/>
  <c r="U33" i="159"/>
  <c r="M98" i="159"/>
  <c r="M33" i="159"/>
  <c r="E98" i="159"/>
  <c r="E33" i="159"/>
  <c r="AC97" i="159"/>
  <c r="AC32" i="159"/>
  <c r="U97" i="159"/>
  <c r="U32" i="159"/>
  <c r="M97" i="159"/>
  <c r="M32" i="159"/>
  <c r="E97" i="159"/>
  <c r="E32" i="159"/>
  <c r="J24" i="159"/>
  <c r="K24" i="159"/>
  <c r="R97" i="159"/>
  <c r="R32" i="159"/>
  <c r="Y34" i="159"/>
  <c r="Q34" i="159"/>
  <c r="I34" i="159"/>
  <c r="R24" i="159"/>
  <c r="L34" i="159"/>
  <c r="AA34" i="159"/>
  <c r="K34" i="159"/>
  <c r="AB24" i="159"/>
  <c r="T24" i="159"/>
  <c r="AD97" i="159"/>
  <c r="AD32" i="159"/>
  <c r="N97" i="159"/>
  <c r="N32" i="159"/>
  <c r="S43" i="159"/>
  <c r="S45" i="159" s="1"/>
  <c r="L97" i="159"/>
  <c r="L32" i="159"/>
  <c r="L43" i="159" s="1"/>
  <c r="L45" i="159" s="1"/>
  <c r="T131" i="159"/>
  <c r="H89" i="159"/>
  <c r="G89" i="159"/>
  <c r="AB131" i="159"/>
  <c r="F89" i="159"/>
  <c r="W131" i="159"/>
  <c r="O131" i="159"/>
  <c r="AF131" i="159"/>
  <c r="I89" i="159"/>
  <c r="E89" i="159"/>
  <c r="D24" i="159"/>
  <c r="AI89" i="159"/>
  <c r="W89" i="159"/>
  <c r="J89" i="159"/>
  <c r="K89" i="159"/>
  <c r="D89" i="159"/>
  <c r="L89" i="159"/>
  <c r="K131" i="159"/>
  <c r="L131" i="159"/>
  <c r="S89" i="159"/>
  <c r="AF89" i="159"/>
  <c r="AC89" i="159"/>
  <c r="T89" i="159"/>
  <c r="M89" i="159"/>
  <c r="D97" i="159"/>
  <c r="D32" i="159"/>
  <c r="AB89" i="159"/>
  <c r="AA89" i="159"/>
  <c r="Y89" i="159"/>
  <c r="O89" i="159"/>
  <c r="Z89" i="159"/>
  <c r="D98" i="159"/>
  <c r="D33" i="159"/>
  <c r="AH89" i="159"/>
  <c r="D31" i="159"/>
  <c r="V89" i="159"/>
  <c r="AG89" i="159"/>
  <c r="X89" i="159"/>
  <c r="P89" i="159"/>
  <c r="Q89" i="159"/>
  <c r="AE89" i="159"/>
  <c r="U89" i="159"/>
  <c r="N89" i="159"/>
  <c r="AD89" i="159"/>
  <c r="R89" i="159"/>
  <c r="I206" i="159"/>
  <c r="M206" i="159"/>
  <c r="U206" i="159"/>
  <c r="S207" i="159"/>
  <c r="O207" i="159"/>
  <c r="AE207" i="159"/>
  <c r="AA207" i="159"/>
  <c r="AC206" i="159"/>
  <c r="K207" i="159"/>
  <c r="P207" i="159"/>
  <c r="AB207" i="159"/>
  <c r="G207" i="159"/>
  <c r="L207" i="159"/>
  <c r="D207" i="159"/>
  <c r="AD207" i="159"/>
  <c r="AD114" i="159"/>
  <c r="V207" i="159"/>
  <c r="V114" i="159"/>
  <c r="V31" i="159" s="1"/>
  <c r="V43" i="159" s="1"/>
  <c r="V45" i="159" s="1"/>
  <c r="M207" i="159"/>
  <c r="M96" i="159"/>
  <c r="AC96" i="159"/>
  <c r="R207" i="159"/>
  <c r="R114" i="159"/>
  <c r="AG96" i="159"/>
  <c r="Y207" i="159"/>
  <c r="Y96" i="159"/>
  <c r="P206" i="159"/>
  <c r="AI207" i="159"/>
  <c r="I207" i="159"/>
  <c r="I96" i="159"/>
  <c r="AH207" i="159"/>
  <c r="AH114" i="159"/>
  <c r="J207" i="159"/>
  <c r="J114" i="159"/>
  <c r="H96" i="159"/>
  <c r="W207" i="159"/>
  <c r="X207" i="159"/>
  <c r="T207" i="159"/>
  <c r="Z207" i="159"/>
  <c r="Z114" i="159"/>
  <c r="Z31" i="159" s="1"/>
  <c r="Z43" i="159" s="1"/>
  <c r="Z45" i="159" s="1"/>
  <c r="Q207" i="159"/>
  <c r="Q96" i="159"/>
  <c r="C207" i="159"/>
  <c r="C96" i="159"/>
  <c r="N207" i="159"/>
  <c r="N114" i="159"/>
  <c r="F207" i="159"/>
  <c r="F114" i="159"/>
  <c r="U207" i="159"/>
  <c r="U96" i="159"/>
  <c r="E207" i="159"/>
  <c r="E96" i="159"/>
  <c r="AA206" i="159"/>
  <c r="AI206" i="159"/>
  <c r="AF207" i="159"/>
  <c r="AF206" i="159"/>
  <c r="N206" i="159"/>
  <c r="O206" i="159"/>
  <c r="Y206" i="159"/>
  <c r="V206" i="159"/>
  <c r="K206" i="159"/>
  <c r="C206" i="159"/>
  <c r="E206" i="159"/>
  <c r="AG206" i="159"/>
  <c r="F206" i="159"/>
  <c r="AH206" i="159"/>
  <c r="Q206" i="159"/>
  <c r="AE206" i="159"/>
  <c r="L206" i="159"/>
  <c r="D206" i="159"/>
  <c r="X206" i="159"/>
  <c r="J206" i="159"/>
  <c r="AB206" i="159"/>
  <c r="G206" i="159"/>
  <c r="T206" i="159"/>
  <c r="S206" i="159"/>
  <c r="Z206" i="159"/>
  <c r="R206" i="159"/>
  <c r="W206" i="159"/>
  <c r="AD206" i="159"/>
  <c r="T45" i="159" l="1"/>
  <c r="F131" i="159"/>
  <c r="AD131" i="159"/>
  <c r="AI43" i="159"/>
  <c r="AI45" i="159" s="1"/>
  <c r="R43" i="159"/>
  <c r="R45" i="159" s="1"/>
  <c r="P131" i="159"/>
  <c r="AE43" i="159"/>
  <c r="AE45" i="159" s="1"/>
  <c r="AA43" i="159"/>
  <c r="AA45" i="159" s="1"/>
  <c r="G45" i="159"/>
  <c r="P43" i="159"/>
  <c r="P45" i="159" s="1"/>
  <c r="Z131" i="159"/>
  <c r="AC131" i="159"/>
  <c r="AC31" i="159"/>
  <c r="AC43" i="159" s="1"/>
  <c r="AC45" i="159" s="1"/>
  <c r="E131" i="159"/>
  <c r="E31" i="159"/>
  <c r="E43" i="159" s="1"/>
  <c r="E45" i="159" s="1"/>
  <c r="H131" i="159"/>
  <c r="H31" i="159"/>
  <c r="H43" i="159" s="1"/>
  <c r="H45" i="159" s="1"/>
  <c r="R131" i="159"/>
  <c r="U131" i="159"/>
  <c r="U31" i="159"/>
  <c r="U43" i="159" s="1"/>
  <c r="U45" i="159" s="1"/>
  <c r="N131" i="159"/>
  <c r="Q131" i="159"/>
  <c r="Q31" i="159"/>
  <c r="Q43" i="159" s="1"/>
  <c r="Q45" i="159" s="1"/>
  <c r="J131" i="159"/>
  <c r="I131" i="159"/>
  <c r="I31" i="159"/>
  <c r="I43" i="159" s="1"/>
  <c r="I45" i="159" s="1"/>
  <c r="Y131" i="159"/>
  <c r="Y31" i="159"/>
  <c r="Y43" i="159" s="1"/>
  <c r="Y45" i="159" s="1"/>
  <c r="V131" i="159"/>
  <c r="D43" i="159"/>
  <c r="D45" i="159" s="1"/>
  <c r="X43" i="159"/>
  <c r="X45" i="159" s="1"/>
  <c r="N31" i="159"/>
  <c r="N43" i="159" s="1"/>
  <c r="N45" i="159" s="1"/>
  <c r="F31" i="159"/>
  <c r="F43" i="159" s="1"/>
  <c r="F45" i="159" s="1"/>
  <c r="J31" i="159"/>
  <c r="J43" i="159" s="1"/>
  <c r="J45" i="159" s="1"/>
  <c r="AH131" i="159"/>
  <c r="AG131" i="159"/>
  <c r="AG31" i="159"/>
  <c r="AG43" i="159" s="1"/>
  <c r="AG45" i="159" s="1"/>
  <c r="M131" i="159"/>
  <c r="M31" i="159"/>
  <c r="M43" i="159" s="1"/>
  <c r="M45" i="159" s="1"/>
  <c r="AH31" i="159"/>
  <c r="AH43" i="159" s="1"/>
  <c r="AH45" i="159" s="1"/>
  <c r="AB43" i="159"/>
  <c r="AB45" i="159" s="1"/>
  <c r="AD31" i="159"/>
  <c r="AD43" i="159" s="1"/>
  <c r="AD45" i="159" s="1"/>
  <c r="D131" i="159"/>
  <c r="M208" i="159"/>
  <c r="M210" i="159" s="1"/>
  <c r="I208" i="159"/>
  <c r="I210" i="159" s="1"/>
  <c r="Y208" i="159"/>
  <c r="Y210" i="159" s="1"/>
  <c r="U208" i="159"/>
  <c r="U210" i="159" s="1"/>
  <c r="AB208" i="159"/>
  <c r="AB210" i="159" s="1"/>
  <c r="O208" i="159"/>
  <c r="O210" i="159" s="1"/>
  <c r="C208" i="159"/>
  <c r="C210" i="159" s="1"/>
  <c r="H207" i="159"/>
  <c r="H208" i="159" s="1"/>
  <c r="H210" i="159" s="1"/>
  <c r="P208" i="159"/>
  <c r="P210" i="159" s="1"/>
  <c r="AE208" i="159"/>
  <c r="AE210" i="159" s="1"/>
  <c r="AI208" i="159"/>
  <c r="AI210" i="159" s="1"/>
  <c r="L208" i="159"/>
  <c r="L210" i="159" s="1"/>
  <c r="K208" i="159"/>
  <c r="K210" i="159" s="1"/>
  <c r="D208" i="159"/>
  <c r="D210" i="159" s="1"/>
  <c r="N208" i="159"/>
  <c r="N210" i="159" s="1"/>
  <c r="T208" i="159"/>
  <c r="T210" i="159" s="1"/>
  <c r="X208" i="159"/>
  <c r="X210" i="159" s="1"/>
  <c r="Q208" i="159"/>
  <c r="Q210" i="159" s="1"/>
  <c r="E208" i="159"/>
  <c r="E210" i="159" s="1"/>
  <c r="AF208" i="159"/>
  <c r="AF210" i="159" s="1"/>
  <c r="AA208" i="159"/>
  <c r="AA210" i="159" s="1"/>
  <c r="AG207" i="159"/>
  <c r="AG208" i="159" s="1"/>
  <c r="AG210" i="159" s="1"/>
  <c r="AC207" i="159"/>
  <c r="AC208" i="159" s="1"/>
  <c r="AC210" i="159" s="1"/>
  <c r="AD208" i="159"/>
  <c r="AD210" i="159" s="1"/>
  <c r="F208" i="159"/>
  <c r="F210" i="159" s="1"/>
  <c r="W208" i="159"/>
  <c r="W210" i="159" s="1"/>
  <c r="G208" i="159"/>
  <c r="G210" i="159" s="1"/>
  <c r="S208" i="159"/>
  <c r="S210" i="159" s="1"/>
  <c r="Z208" i="159"/>
  <c r="Z210" i="159" s="1"/>
  <c r="V208" i="159"/>
  <c r="V210" i="159" s="1"/>
  <c r="AH208" i="159"/>
  <c r="AH210" i="159" s="1"/>
  <c r="J208" i="159"/>
  <c r="J210" i="159" s="1"/>
  <c r="R208" i="159"/>
  <c r="R210" i="159" s="1"/>
  <c r="I12" i="7" l="1"/>
  <c r="K94" i="129" l="1"/>
  <c r="L94" i="129" s="1"/>
  <c r="J25" i="129"/>
  <c r="J28" i="129"/>
  <c r="J54" i="129"/>
  <c r="I25" i="129"/>
  <c r="F13" i="129"/>
  <c r="L174" i="66" l="1"/>
  <c r="M173" i="66"/>
  <c r="K80" i="43" l="1"/>
  <c r="J87" i="43" s="1"/>
  <c r="K89" i="43"/>
  <c r="J89" i="43" s="1"/>
  <c r="J30" i="29"/>
  <c r="K30" i="29" s="1"/>
  <c r="J29" i="29"/>
  <c r="K29" i="29" s="1"/>
  <c r="I67" i="30"/>
  <c r="I66" i="30"/>
  <c r="I65" i="30"/>
  <c r="I64" i="30"/>
  <c r="I63" i="30"/>
  <c r="I62" i="30"/>
  <c r="I61" i="30"/>
  <c r="I60" i="30"/>
  <c r="I59" i="30"/>
  <c r="I58" i="30"/>
  <c r="I57" i="30"/>
  <c r="I56" i="30"/>
  <c r="I55" i="30"/>
  <c r="I53" i="30"/>
  <c r="I52" i="30"/>
  <c r="I51" i="30"/>
  <c r="I48" i="33"/>
  <c r="I47" i="33"/>
  <c r="I46" i="33"/>
  <c r="I45" i="33"/>
  <c r="I44" i="33"/>
  <c r="I43" i="33"/>
  <c r="I42" i="33"/>
  <c r="I50" i="33" s="1"/>
  <c r="J50" i="33" s="1"/>
  <c r="K50" i="33" s="1"/>
  <c r="I41" i="33"/>
  <c r="I40" i="33"/>
  <c r="I39" i="33"/>
  <c r="I38" i="33"/>
  <c r="I37" i="33"/>
  <c r="D36" i="33"/>
  <c r="I78" i="34"/>
  <c r="J78" i="34" s="1"/>
  <c r="K78" i="34" s="1"/>
  <c r="I77" i="34"/>
  <c r="J77" i="34" s="1"/>
  <c r="K77" i="34" s="1"/>
  <c r="I76" i="34"/>
  <c r="J76" i="34" s="1"/>
  <c r="K76" i="34" s="1"/>
  <c r="I75" i="34"/>
  <c r="J75" i="34" s="1"/>
  <c r="K75" i="34" s="1"/>
  <c r="I74" i="34"/>
  <c r="J74" i="34" s="1"/>
  <c r="K74" i="34" s="1"/>
  <c r="I72" i="34"/>
  <c r="J72" i="34" s="1"/>
  <c r="K72" i="34" s="1"/>
  <c r="I71" i="34"/>
  <c r="J71" i="34" s="1"/>
  <c r="K71" i="34" s="1"/>
  <c r="I70" i="34"/>
  <c r="I69" i="34"/>
  <c r="I68" i="34"/>
  <c r="J68" i="34" s="1"/>
  <c r="K68" i="34" s="1"/>
  <c r="I67" i="34"/>
  <c r="J67" i="34" s="1"/>
  <c r="K67" i="34" s="1"/>
  <c r="I66" i="34"/>
  <c r="J66" i="34" s="1"/>
  <c r="K66" i="34" s="1"/>
  <c r="I65" i="34"/>
  <c r="J65" i="34" s="1"/>
  <c r="K65" i="34" s="1"/>
  <c r="I64" i="34"/>
  <c r="J64" i="34" s="1"/>
  <c r="K64" i="34" s="1"/>
  <c r="I63" i="34"/>
  <c r="J63" i="34" s="1"/>
  <c r="K63" i="34" s="1"/>
  <c r="I62" i="34"/>
  <c r="J62" i="34" s="1"/>
  <c r="K62" i="34" s="1"/>
  <c r="I61" i="34"/>
  <c r="J61" i="34" s="1"/>
  <c r="K61" i="34" s="1"/>
  <c r="I60" i="34"/>
  <c r="I59" i="34"/>
  <c r="I58" i="34"/>
  <c r="I57" i="34"/>
  <c r="I56" i="34"/>
  <c r="C66" i="34"/>
  <c r="E64" i="34"/>
  <c r="D64" i="34"/>
  <c r="C64" i="34"/>
  <c r="I75" i="35"/>
  <c r="I74" i="35"/>
  <c r="I73" i="35"/>
  <c r="I72" i="35"/>
  <c r="I71" i="35"/>
  <c r="I70" i="35"/>
  <c r="I69" i="35"/>
  <c r="I68" i="35"/>
  <c r="I67" i="35"/>
  <c r="I66" i="35"/>
  <c r="I65" i="35"/>
  <c r="I64" i="35"/>
  <c r="I63" i="35"/>
  <c r="I58" i="35"/>
  <c r="I21" i="36"/>
  <c r="I22" i="36"/>
  <c r="I38" i="149"/>
  <c r="I37" i="149"/>
  <c r="I36" i="149"/>
  <c r="I35" i="149"/>
  <c r="I34" i="149"/>
  <c r="I33" i="149"/>
  <c r="I42" i="149" s="1"/>
  <c r="I32" i="149"/>
  <c r="I39" i="77"/>
  <c r="I38" i="77"/>
  <c r="I37" i="77"/>
  <c r="I36" i="77"/>
  <c r="I35" i="77"/>
  <c r="I41" i="77" s="1"/>
  <c r="J41" i="77" s="1"/>
  <c r="K41" i="77" s="1"/>
  <c r="I34" i="77"/>
  <c r="I33" i="77"/>
  <c r="I32" i="77"/>
  <c r="I31" i="77"/>
  <c r="I30" i="77"/>
  <c r="I29" i="77"/>
  <c r="D39" i="77"/>
  <c r="D38" i="77"/>
  <c r="I74" i="38"/>
  <c r="I73" i="38"/>
  <c r="I72" i="38"/>
  <c r="I71" i="38"/>
  <c r="I70" i="38"/>
  <c r="I69" i="38"/>
  <c r="I67" i="38"/>
  <c r="I66" i="38"/>
  <c r="I65" i="38"/>
  <c r="I64" i="38"/>
  <c r="I63" i="38"/>
  <c r="I62" i="38"/>
  <c r="I61" i="38"/>
  <c r="I58" i="38"/>
  <c r="I57" i="38"/>
  <c r="I56" i="38"/>
  <c r="I55" i="38"/>
  <c r="C63" i="38"/>
  <c r="I60" i="40"/>
  <c r="I59" i="40"/>
  <c r="I58" i="40"/>
  <c r="I57" i="40"/>
  <c r="I56" i="40"/>
  <c r="I55" i="40"/>
  <c r="I29" i="41"/>
  <c r="I28" i="41"/>
  <c r="I27" i="41"/>
  <c r="I26" i="41"/>
  <c r="I25" i="41"/>
  <c r="I24" i="41"/>
  <c r="I49" i="87"/>
  <c r="I142" i="43"/>
  <c r="I141" i="43"/>
  <c r="I140" i="43"/>
  <c r="I139" i="43"/>
  <c r="I138" i="43"/>
  <c r="I137" i="43"/>
  <c r="I136" i="43"/>
  <c r="I135" i="43"/>
  <c r="I134" i="43"/>
  <c r="I133" i="43"/>
  <c r="I132" i="43"/>
  <c r="I131" i="43"/>
  <c r="I128" i="43"/>
  <c r="I127" i="43"/>
  <c r="I126" i="43"/>
  <c r="I125" i="43"/>
  <c r="I124" i="43"/>
  <c r="I123" i="43"/>
  <c r="I122" i="43"/>
  <c r="I120" i="43"/>
  <c r="I119" i="43"/>
  <c r="I118" i="43"/>
  <c r="I117" i="43"/>
  <c r="I116" i="43"/>
  <c r="I115" i="43"/>
  <c r="K115" i="43" s="1"/>
  <c r="I114" i="43"/>
  <c r="I113" i="43"/>
  <c r="K113" i="43" s="1"/>
  <c r="I112" i="43"/>
  <c r="K112" i="43" s="1"/>
  <c r="I111" i="43"/>
  <c r="K111" i="43" s="1"/>
  <c r="I110" i="43"/>
  <c r="I109" i="43"/>
  <c r="I108" i="43"/>
  <c r="I107" i="43"/>
  <c r="I106" i="43"/>
  <c r="I104" i="43"/>
  <c r="I103" i="43"/>
  <c r="I102" i="43"/>
  <c r="C132" i="43"/>
  <c r="D102" i="43"/>
  <c r="C102" i="43"/>
  <c r="D101" i="43"/>
  <c r="I59" i="60"/>
  <c r="I58" i="60"/>
  <c r="I57" i="60"/>
  <c r="I56" i="60"/>
  <c r="I55" i="60"/>
  <c r="I54" i="60"/>
  <c r="I53" i="60"/>
  <c r="I52" i="60"/>
  <c r="I50" i="60"/>
  <c r="I49" i="60"/>
  <c r="I48" i="60"/>
  <c r="I47" i="60"/>
  <c r="J64" i="44"/>
  <c r="K64" i="44" s="1"/>
  <c r="J63" i="44"/>
  <c r="K63" i="44" s="1"/>
  <c r="J62" i="44"/>
  <c r="K62" i="44" s="1"/>
  <c r="J60" i="44"/>
  <c r="K60" i="44" s="1"/>
  <c r="J59" i="44"/>
  <c r="J58" i="44"/>
  <c r="K58" i="44" s="1"/>
  <c r="J57" i="44"/>
  <c r="K57" i="44" s="1"/>
  <c r="J56" i="44"/>
  <c r="K56" i="44" s="1"/>
  <c r="I55" i="44"/>
  <c r="I53" i="44"/>
  <c r="I52" i="44"/>
  <c r="I51" i="44"/>
  <c r="I50" i="44"/>
  <c r="J49" i="44"/>
  <c r="K49" i="44" s="1"/>
  <c r="I20" i="45"/>
  <c r="I23" i="46"/>
  <c r="I18" i="48"/>
  <c r="J30" i="86"/>
  <c r="K30" i="86" s="1"/>
  <c r="J29" i="86"/>
  <c r="K29" i="86" s="1"/>
  <c r="J28" i="86"/>
  <c r="K28" i="86" s="1"/>
  <c r="J27" i="86"/>
  <c r="K27" i="86" s="1"/>
  <c r="J26" i="86"/>
  <c r="K26" i="86" s="1"/>
  <c r="J25" i="86"/>
  <c r="K25" i="86" s="1"/>
  <c r="E29" i="86"/>
  <c r="E26" i="86" s="1"/>
  <c r="C29" i="86"/>
  <c r="C26" i="86" s="1"/>
  <c r="D26" i="86"/>
  <c r="I40" i="56"/>
  <c r="I39" i="56"/>
  <c r="I38" i="56"/>
  <c r="I37" i="56"/>
  <c r="I36" i="56"/>
  <c r="I35" i="56"/>
  <c r="I34" i="56"/>
  <c r="I33" i="56"/>
  <c r="I32" i="56"/>
  <c r="D32" i="56"/>
  <c r="D31" i="56"/>
  <c r="I98" i="17"/>
  <c r="I97" i="17"/>
  <c r="I96" i="17"/>
  <c r="I95" i="17"/>
  <c r="I94" i="17"/>
  <c r="I92" i="17"/>
  <c r="I91" i="17"/>
  <c r="I90" i="17"/>
  <c r="I89" i="17"/>
  <c r="I88" i="17"/>
  <c r="I87" i="17"/>
  <c r="I86" i="17"/>
  <c r="I85" i="17"/>
  <c r="I84" i="17"/>
  <c r="I83" i="17"/>
  <c r="I82" i="17"/>
  <c r="I81" i="17"/>
  <c r="I80" i="17"/>
  <c r="I79" i="17"/>
  <c r="I78" i="17"/>
  <c r="I76" i="17"/>
  <c r="I75" i="17"/>
  <c r="I74" i="17"/>
  <c r="I73" i="17"/>
  <c r="I72" i="17"/>
  <c r="I71" i="17"/>
  <c r="I70" i="17"/>
  <c r="I69" i="17"/>
  <c r="I68" i="17"/>
  <c r="I67" i="17"/>
  <c r="I66" i="17"/>
  <c r="I65" i="17"/>
  <c r="I63" i="17"/>
  <c r="I62" i="17"/>
  <c r="D63" i="17"/>
  <c r="D62" i="17"/>
  <c r="C62" i="17"/>
  <c r="D61" i="17"/>
  <c r="I29" i="23"/>
  <c r="I28" i="23"/>
  <c r="I27" i="23"/>
  <c r="I26" i="23"/>
  <c r="D26" i="23"/>
  <c r="D25" i="23"/>
  <c r="I32" i="18"/>
  <c r="I30" i="18"/>
  <c r="I29" i="18"/>
  <c r="I28" i="18"/>
  <c r="I34" i="18" s="1"/>
  <c r="J34" i="18" s="1"/>
  <c r="K34" i="18" s="1"/>
  <c r="I26" i="18"/>
  <c r="D27" i="18"/>
  <c r="I43" i="22"/>
  <c r="I42" i="22"/>
  <c r="I39" i="22"/>
  <c r="I38" i="22"/>
  <c r="I37" i="22"/>
  <c r="I36" i="22"/>
  <c r="I35" i="22"/>
  <c r="I32" i="22"/>
  <c r="F13" i="22"/>
  <c r="F24" i="22"/>
  <c r="D34" i="22"/>
  <c r="I24" i="7"/>
  <c r="I23" i="7"/>
  <c r="I77" i="8"/>
  <c r="I76" i="8"/>
  <c r="I75" i="8"/>
  <c r="I74" i="8"/>
  <c r="I73" i="8"/>
  <c r="I72" i="8"/>
  <c r="I70" i="8"/>
  <c r="I69" i="8"/>
  <c r="I68" i="8"/>
  <c r="I67" i="8"/>
  <c r="I66" i="8"/>
  <c r="I63" i="8"/>
  <c r="I61" i="8"/>
  <c r="I60" i="8"/>
  <c r="I59" i="8"/>
  <c r="I58" i="8"/>
  <c r="I57" i="8"/>
  <c r="D54" i="8"/>
  <c r="I50" i="9"/>
  <c r="I49" i="9"/>
  <c r="I48" i="9"/>
  <c r="I47" i="9"/>
  <c r="I46" i="9"/>
  <c r="I45" i="9"/>
  <c r="I44" i="9"/>
  <c r="I42" i="9"/>
  <c r="I41" i="9"/>
  <c r="I40" i="9"/>
  <c r="J21" i="10"/>
  <c r="J67" i="11"/>
  <c r="I24" i="10"/>
  <c r="I23" i="10"/>
  <c r="I22" i="10"/>
  <c r="I93" i="11"/>
  <c r="I92" i="11"/>
  <c r="I91" i="11"/>
  <c r="I90" i="11"/>
  <c r="I89" i="11"/>
  <c r="I88" i="11"/>
  <c r="I87" i="11"/>
  <c r="I86" i="11"/>
  <c r="I84" i="11"/>
  <c r="I83" i="11"/>
  <c r="I82" i="11"/>
  <c r="I81" i="11"/>
  <c r="I80" i="11"/>
  <c r="I79" i="11"/>
  <c r="I77" i="11"/>
  <c r="I76" i="11"/>
  <c r="I75" i="11"/>
  <c r="I74" i="11"/>
  <c r="I73" i="11"/>
  <c r="I72" i="11"/>
  <c r="I70" i="11"/>
  <c r="J42" i="49"/>
  <c r="J54" i="49"/>
  <c r="K54" i="49" s="1"/>
  <c r="J53" i="49"/>
  <c r="K53" i="49" s="1"/>
  <c r="J52" i="49"/>
  <c r="J51" i="49"/>
  <c r="K51" i="49" s="1"/>
  <c r="J50" i="49"/>
  <c r="K50" i="49" s="1"/>
  <c r="J49" i="49"/>
  <c r="K49" i="49" s="1"/>
  <c r="J48" i="49"/>
  <c r="K48" i="49" s="1"/>
  <c r="I45" i="49"/>
  <c r="S174" i="66"/>
  <c r="I47" i="49"/>
  <c r="I44" i="22"/>
  <c r="I40" i="22"/>
  <c r="I60" i="38"/>
  <c r="I39" i="149"/>
  <c r="L11" i="32"/>
  <c r="L14" i="32" s="1"/>
  <c r="I9" i="129" s="1"/>
  <c r="J42" i="149" l="1"/>
  <c r="K42" i="149" s="1"/>
  <c r="K74" i="8"/>
  <c r="J58" i="30"/>
  <c r="K58" i="30"/>
  <c r="J67" i="30"/>
  <c r="K67" i="30"/>
  <c r="K64" i="30"/>
  <c r="J64" i="30"/>
  <c r="K57" i="30"/>
  <c r="J57" i="30"/>
  <c r="J56" i="30"/>
  <c r="K56" i="30" s="1"/>
  <c r="J55" i="30"/>
  <c r="K55" i="30" s="1"/>
  <c r="J70" i="11"/>
  <c r="K70" i="11"/>
  <c r="J75" i="11"/>
  <c r="K75" i="11" s="1"/>
  <c r="J80" i="11"/>
  <c r="K80" i="11" s="1"/>
  <c r="J84" i="11"/>
  <c r="K84" i="11" s="1"/>
  <c r="J89" i="11"/>
  <c r="K89" i="11" s="1"/>
  <c r="J93" i="11"/>
  <c r="K93" i="11" s="1"/>
  <c r="J42" i="9"/>
  <c r="K42" i="9"/>
  <c r="J47" i="9"/>
  <c r="K47" i="9"/>
  <c r="J35" i="22"/>
  <c r="K35" i="22"/>
  <c r="J39" i="22"/>
  <c r="K39" i="22" s="1"/>
  <c r="J26" i="18"/>
  <c r="K26" i="18"/>
  <c r="J32" i="18"/>
  <c r="K32" i="18" s="1"/>
  <c r="J27" i="23"/>
  <c r="K27" i="23" s="1"/>
  <c r="J63" i="17"/>
  <c r="K63" i="17" s="1"/>
  <c r="J68" i="17"/>
  <c r="K68" i="17" s="1"/>
  <c r="J72" i="17"/>
  <c r="K72" i="17"/>
  <c r="J76" i="17"/>
  <c r="K76" i="17" s="1"/>
  <c r="J81" i="17"/>
  <c r="K81" i="17" s="1"/>
  <c r="J85" i="17"/>
  <c r="K85" i="17"/>
  <c r="J89" i="17"/>
  <c r="K89" i="17" s="1"/>
  <c r="J94" i="17"/>
  <c r="K94" i="17" s="1"/>
  <c r="J98" i="17"/>
  <c r="K98" i="17"/>
  <c r="J33" i="56"/>
  <c r="K33" i="56" s="1"/>
  <c r="J37" i="56"/>
  <c r="K37" i="56"/>
  <c r="J53" i="44"/>
  <c r="K53" i="44" s="1"/>
  <c r="J58" i="60"/>
  <c r="K58" i="60"/>
  <c r="J49" i="87"/>
  <c r="K49" i="87" s="1"/>
  <c r="J27" i="41"/>
  <c r="K27" i="41"/>
  <c r="J60" i="40"/>
  <c r="K60" i="40"/>
  <c r="J65" i="40"/>
  <c r="K65" i="40" s="1"/>
  <c r="J58" i="38"/>
  <c r="K58" i="38"/>
  <c r="J64" i="38"/>
  <c r="K64" i="38" s="1"/>
  <c r="J69" i="38"/>
  <c r="K69" i="38" s="1"/>
  <c r="J73" i="38"/>
  <c r="K73" i="38" s="1"/>
  <c r="J37" i="149"/>
  <c r="K37" i="149" s="1"/>
  <c r="J58" i="35"/>
  <c r="K58" i="35" s="1"/>
  <c r="J66" i="35"/>
  <c r="K66" i="35" s="1"/>
  <c r="J70" i="35"/>
  <c r="K70" i="35" s="1"/>
  <c r="J74" i="35"/>
  <c r="K74" i="35" s="1"/>
  <c r="J70" i="34"/>
  <c r="K70" i="34"/>
  <c r="J40" i="33"/>
  <c r="K40" i="33" s="1"/>
  <c r="J44" i="33"/>
  <c r="K44" i="33"/>
  <c r="J48" i="33"/>
  <c r="K48" i="33"/>
  <c r="J81" i="11"/>
  <c r="K81" i="11"/>
  <c r="J90" i="11"/>
  <c r="K90" i="11" s="1"/>
  <c r="J22" i="10"/>
  <c r="K22" i="10" s="1"/>
  <c r="J44" i="9"/>
  <c r="K44" i="9" s="1"/>
  <c r="J48" i="9"/>
  <c r="K48" i="9"/>
  <c r="J36" i="22"/>
  <c r="K36" i="22" s="1"/>
  <c r="J42" i="22"/>
  <c r="K42" i="22" s="1"/>
  <c r="J28" i="18"/>
  <c r="K28" i="18" s="1"/>
  <c r="J28" i="23"/>
  <c r="K28" i="23" s="1"/>
  <c r="J65" i="17"/>
  <c r="K65" i="17" s="1"/>
  <c r="J69" i="17"/>
  <c r="K69" i="17" s="1"/>
  <c r="J73" i="17"/>
  <c r="K73" i="17" s="1"/>
  <c r="J78" i="17"/>
  <c r="K78" i="17" s="1"/>
  <c r="J82" i="17"/>
  <c r="K82" i="17" s="1"/>
  <c r="J86" i="17"/>
  <c r="K86" i="17" s="1"/>
  <c r="J90" i="17"/>
  <c r="K90" i="17" s="1"/>
  <c r="J95" i="17"/>
  <c r="K95" i="17" s="1"/>
  <c r="J34" i="56"/>
  <c r="K34" i="56" s="1"/>
  <c r="J38" i="56"/>
  <c r="K38" i="56" s="1"/>
  <c r="J18" i="48"/>
  <c r="K18" i="48"/>
  <c r="J50" i="44"/>
  <c r="K50" i="44" s="1"/>
  <c r="J55" i="44"/>
  <c r="K55" i="44"/>
  <c r="J24" i="41"/>
  <c r="K24" i="41" s="1"/>
  <c r="J28" i="41"/>
  <c r="K28" i="41" s="1"/>
  <c r="J57" i="40"/>
  <c r="K57" i="40" s="1"/>
  <c r="J62" i="40"/>
  <c r="K62" i="40" s="1"/>
  <c r="J66" i="40"/>
  <c r="K66" i="40" s="1"/>
  <c r="J55" i="38"/>
  <c r="K55" i="38" s="1"/>
  <c r="J61" i="38"/>
  <c r="K61" i="38" s="1"/>
  <c r="J65" i="38"/>
  <c r="K65" i="38" s="1"/>
  <c r="J70" i="38"/>
  <c r="K70" i="38" s="1"/>
  <c r="J74" i="38"/>
  <c r="K74" i="38"/>
  <c r="J34" i="149"/>
  <c r="K34" i="149" s="1"/>
  <c r="J38" i="149"/>
  <c r="K38" i="149"/>
  <c r="J63" i="35"/>
  <c r="K63" i="35" s="1"/>
  <c r="J67" i="35"/>
  <c r="K67" i="35"/>
  <c r="J71" i="35"/>
  <c r="K71" i="35"/>
  <c r="J75" i="35"/>
  <c r="K75" i="35" s="1"/>
  <c r="J37" i="33"/>
  <c r="K37" i="33"/>
  <c r="J41" i="33"/>
  <c r="K41" i="33"/>
  <c r="J45" i="33"/>
  <c r="K45" i="33"/>
  <c r="J39" i="149"/>
  <c r="K39" i="149" s="1"/>
  <c r="J72" i="11"/>
  <c r="K72" i="11"/>
  <c r="J86" i="11"/>
  <c r="K86" i="11" s="1"/>
  <c r="J87" i="11"/>
  <c r="K87" i="11" s="1"/>
  <c r="J40" i="9"/>
  <c r="K40" i="9" s="1"/>
  <c r="J49" i="9"/>
  <c r="K49" i="9" s="1"/>
  <c r="J23" i="7"/>
  <c r="K23" i="7" s="1"/>
  <c r="J37" i="22"/>
  <c r="K37" i="22" s="1"/>
  <c r="J43" i="22"/>
  <c r="K43" i="22"/>
  <c r="J29" i="18"/>
  <c r="K29" i="18" s="1"/>
  <c r="J29" i="23"/>
  <c r="K29" i="23" s="1"/>
  <c r="J66" i="17"/>
  <c r="K66" i="17" s="1"/>
  <c r="J70" i="17"/>
  <c r="K70" i="17" s="1"/>
  <c r="J74" i="17"/>
  <c r="K74" i="17" s="1"/>
  <c r="J79" i="17"/>
  <c r="K79" i="17" s="1"/>
  <c r="J83" i="17"/>
  <c r="K83" i="17"/>
  <c r="J87" i="17"/>
  <c r="K87" i="17" s="1"/>
  <c r="J91" i="17"/>
  <c r="K91" i="17" s="1"/>
  <c r="J96" i="17"/>
  <c r="K96" i="17" s="1"/>
  <c r="J35" i="56"/>
  <c r="K35" i="56" s="1"/>
  <c r="J39" i="56"/>
  <c r="K39" i="56" s="1"/>
  <c r="J23" i="46"/>
  <c r="K23" i="46" s="1"/>
  <c r="J51" i="44"/>
  <c r="K51" i="44" s="1"/>
  <c r="J25" i="41"/>
  <c r="K25" i="41" s="1"/>
  <c r="J29" i="41"/>
  <c r="K29" i="41"/>
  <c r="J58" i="40"/>
  <c r="K58" i="40"/>
  <c r="J63" i="40"/>
  <c r="K63" i="40" s="1"/>
  <c r="J67" i="40"/>
  <c r="K67" i="40" s="1"/>
  <c r="J56" i="38"/>
  <c r="K56" i="38" s="1"/>
  <c r="J62" i="38"/>
  <c r="K62" i="38" s="1"/>
  <c r="J66" i="38"/>
  <c r="K66" i="38"/>
  <c r="J71" i="38"/>
  <c r="K71" i="38"/>
  <c r="J35" i="149"/>
  <c r="K35" i="149"/>
  <c r="J22" i="36"/>
  <c r="K22" i="36" s="1"/>
  <c r="J64" i="35"/>
  <c r="K64" i="35" s="1"/>
  <c r="J68" i="35"/>
  <c r="K68" i="35" s="1"/>
  <c r="J72" i="35"/>
  <c r="K72" i="35" s="1"/>
  <c r="J38" i="33"/>
  <c r="K38" i="33" s="1"/>
  <c r="J42" i="33"/>
  <c r="K42" i="33"/>
  <c r="J46" i="33"/>
  <c r="K46" i="33"/>
  <c r="J76" i="11"/>
  <c r="K76" i="11" s="1"/>
  <c r="J73" i="11"/>
  <c r="K73" i="11"/>
  <c r="J77" i="11"/>
  <c r="K77" i="11" s="1"/>
  <c r="J82" i="11"/>
  <c r="K82" i="11" s="1"/>
  <c r="J91" i="11"/>
  <c r="K91" i="11" s="1"/>
  <c r="J23" i="10"/>
  <c r="K23" i="10" s="1"/>
  <c r="J45" i="9"/>
  <c r="K45" i="9"/>
  <c r="J40" i="22"/>
  <c r="K40" i="22" s="1"/>
  <c r="J74" i="11"/>
  <c r="K74" i="11" s="1"/>
  <c r="J79" i="11"/>
  <c r="K79" i="11" s="1"/>
  <c r="J83" i="11"/>
  <c r="K83" i="11" s="1"/>
  <c r="J88" i="11"/>
  <c r="K88" i="11"/>
  <c r="J92" i="11"/>
  <c r="K92" i="11" s="1"/>
  <c r="J24" i="10"/>
  <c r="K24" i="10"/>
  <c r="J41" i="9"/>
  <c r="K41" i="9" s="1"/>
  <c r="J46" i="9"/>
  <c r="K46" i="9" s="1"/>
  <c r="J50" i="9"/>
  <c r="K50" i="9" s="1"/>
  <c r="J24" i="7"/>
  <c r="K24" i="7"/>
  <c r="J38" i="22"/>
  <c r="K38" i="22" s="1"/>
  <c r="J30" i="18"/>
  <c r="K30" i="18" s="1"/>
  <c r="J26" i="23"/>
  <c r="K26" i="23" s="1"/>
  <c r="J62" i="17"/>
  <c r="K62" i="17" s="1"/>
  <c r="J67" i="17"/>
  <c r="K67" i="17" s="1"/>
  <c r="J71" i="17"/>
  <c r="K71" i="17" s="1"/>
  <c r="J75" i="17"/>
  <c r="K75" i="17" s="1"/>
  <c r="J80" i="17"/>
  <c r="K80" i="17" s="1"/>
  <c r="J84" i="17"/>
  <c r="K84" i="17" s="1"/>
  <c r="J88" i="17"/>
  <c r="K88" i="17" s="1"/>
  <c r="J92" i="17"/>
  <c r="K92" i="17"/>
  <c r="J97" i="17"/>
  <c r="K97" i="17" s="1"/>
  <c r="J32" i="56"/>
  <c r="K32" i="56" s="1"/>
  <c r="J36" i="56"/>
  <c r="K36" i="56" s="1"/>
  <c r="J40" i="56"/>
  <c r="K40" i="56" s="1"/>
  <c r="J20" i="45"/>
  <c r="K20" i="45"/>
  <c r="J52" i="44"/>
  <c r="K52" i="44" s="1"/>
  <c r="J57" i="60"/>
  <c r="K57" i="60" s="1"/>
  <c r="J26" i="41"/>
  <c r="K26" i="41" s="1"/>
  <c r="J55" i="40"/>
  <c r="K55" i="40"/>
  <c r="J59" i="40"/>
  <c r="K59" i="40" s="1"/>
  <c r="J64" i="40"/>
  <c r="K64" i="40" s="1"/>
  <c r="J68" i="40"/>
  <c r="K68" i="40" s="1"/>
  <c r="J57" i="38"/>
  <c r="K57" i="38"/>
  <c r="J63" i="38"/>
  <c r="K63" i="38" s="1"/>
  <c r="J67" i="38"/>
  <c r="K67" i="38" s="1"/>
  <c r="J72" i="38"/>
  <c r="K72" i="38" s="1"/>
  <c r="J32" i="149"/>
  <c r="K32" i="149"/>
  <c r="J36" i="149"/>
  <c r="K36" i="149" s="1"/>
  <c r="J21" i="36"/>
  <c r="K21" i="36" s="1"/>
  <c r="J65" i="35"/>
  <c r="K65" i="35" s="1"/>
  <c r="J69" i="35"/>
  <c r="K69" i="35"/>
  <c r="J73" i="35"/>
  <c r="K73" i="35" s="1"/>
  <c r="J69" i="34"/>
  <c r="K69" i="34"/>
  <c r="J39" i="33"/>
  <c r="K39" i="33"/>
  <c r="J43" i="33"/>
  <c r="K43" i="33" s="1"/>
  <c r="J47" i="33"/>
  <c r="K47" i="33" s="1"/>
  <c r="J33" i="149"/>
  <c r="K33" i="149" s="1"/>
  <c r="J29" i="77"/>
  <c r="K29" i="77" s="1"/>
  <c r="J33" i="77"/>
  <c r="K33" i="77" s="1"/>
  <c r="J37" i="77"/>
  <c r="K37" i="77" s="1"/>
  <c r="J30" i="77"/>
  <c r="K30" i="77" s="1"/>
  <c r="J38" i="77"/>
  <c r="K38" i="77" s="1"/>
  <c r="J31" i="77"/>
  <c r="K31" i="77" s="1"/>
  <c r="J35" i="77"/>
  <c r="K35" i="77" s="1"/>
  <c r="J39" i="77"/>
  <c r="K39" i="77" s="1"/>
  <c r="J32" i="77"/>
  <c r="K32" i="77" s="1"/>
  <c r="J36" i="77"/>
  <c r="K36" i="77" s="1"/>
  <c r="J49" i="60"/>
  <c r="K49" i="60" s="1"/>
  <c r="J54" i="60"/>
  <c r="K54" i="60"/>
  <c r="J50" i="60"/>
  <c r="K50" i="60" s="1"/>
  <c r="J55" i="60"/>
  <c r="K55" i="60"/>
  <c r="J52" i="60"/>
  <c r="K52" i="60" s="1"/>
  <c r="J56" i="60"/>
  <c r="K56" i="60" s="1"/>
  <c r="J48" i="60"/>
  <c r="K48" i="60" s="1"/>
  <c r="J53" i="60"/>
  <c r="K53" i="60" s="1"/>
  <c r="J34" i="77"/>
  <c r="K34" i="77" s="1"/>
  <c r="J58" i="34"/>
  <c r="K58" i="34" s="1"/>
  <c r="J59" i="34"/>
  <c r="K59" i="34"/>
  <c r="J56" i="34"/>
  <c r="K56" i="34" s="1"/>
  <c r="J60" i="34"/>
  <c r="K60" i="34" s="1"/>
  <c r="J57" i="34"/>
  <c r="K57" i="34" s="1"/>
  <c r="J56" i="40"/>
  <c r="K56" i="40" s="1"/>
  <c r="J59" i="60"/>
  <c r="K59" i="60" s="1"/>
  <c r="J45" i="49"/>
  <c r="K45" i="49" s="1"/>
  <c r="J47" i="60"/>
  <c r="K47" i="60" s="1"/>
  <c r="J51" i="30"/>
  <c r="K51" i="30" s="1"/>
  <c r="J52" i="30"/>
  <c r="K52" i="30" s="1"/>
  <c r="J53" i="30"/>
  <c r="K53" i="30" s="1"/>
  <c r="J58" i="8"/>
  <c r="K58" i="8" s="1"/>
  <c r="J69" i="8"/>
  <c r="K69" i="8" s="1"/>
  <c r="J74" i="8"/>
  <c r="J66" i="8"/>
  <c r="K66" i="8" s="1"/>
  <c r="J70" i="8"/>
  <c r="K70" i="8" s="1"/>
  <c r="J75" i="8"/>
  <c r="K75" i="8" s="1"/>
  <c r="J67" i="8"/>
  <c r="K67" i="8" s="1"/>
  <c r="J72" i="8"/>
  <c r="K72" i="8" s="1"/>
  <c r="J76" i="8"/>
  <c r="K76" i="8" s="1"/>
  <c r="J57" i="8"/>
  <c r="K57" i="8" s="1"/>
  <c r="J68" i="8"/>
  <c r="K68" i="8" s="1"/>
  <c r="J73" i="8"/>
  <c r="K73" i="8" s="1"/>
  <c r="J77" i="8"/>
  <c r="K77" i="8" s="1"/>
  <c r="J102" i="43"/>
  <c r="K102" i="43" s="1"/>
  <c r="J107" i="43"/>
  <c r="K107" i="43" s="1"/>
  <c r="J111" i="43"/>
  <c r="J115" i="43"/>
  <c r="J119" i="43"/>
  <c r="K119" i="43" s="1"/>
  <c r="J124" i="43"/>
  <c r="K124" i="43" s="1"/>
  <c r="J128" i="43"/>
  <c r="K128" i="43" s="1"/>
  <c r="J134" i="43"/>
  <c r="K134" i="43" s="1"/>
  <c r="J138" i="43"/>
  <c r="K138" i="43" s="1"/>
  <c r="J142" i="43"/>
  <c r="K142" i="43" s="1"/>
  <c r="J103" i="43"/>
  <c r="K103" i="43" s="1"/>
  <c r="J108" i="43"/>
  <c r="K108" i="43" s="1"/>
  <c r="J112" i="43"/>
  <c r="J116" i="43"/>
  <c r="K116" i="43" s="1"/>
  <c r="J120" i="43"/>
  <c r="K120" i="43" s="1"/>
  <c r="J125" i="43"/>
  <c r="K125" i="43" s="1"/>
  <c r="J131" i="43"/>
  <c r="K131" i="43" s="1"/>
  <c r="J135" i="43"/>
  <c r="K135" i="43" s="1"/>
  <c r="J139" i="43"/>
  <c r="K139" i="43" s="1"/>
  <c r="J104" i="43"/>
  <c r="K104" i="43" s="1"/>
  <c r="J109" i="43"/>
  <c r="K109" i="43" s="1"/>
  <c r="J113" i="43"/>
  <c r="J117" i="43"/>
  <c r="K117" i="43" s="1"/>
  <c r="J122" i="43"/>
  <c r="K122" i="43" s="1"/>
  <c r="J126" i="43"/>
  <c r="K126" i="43" s="1"/>
  <c r="J132" i="43"/>
  <c r="K132" i="43" s="1"/>
  <c r="J136" i="43"/>
  <c r="K136" i="43" s="1"/>
  <c r="J140" i="43"/>
  <c r="K140" i="43" s="1"/>
  <c r="J106" i="43"/>
  <c r="K106" i="43" s="1"/>
  <c r="J110" i="43"/>
  <c r="K110" i="43" s="1"/>
  <c r="J114" i="43"/>
  <c r="K114" i="43" s="1"/>
  <c r="J118" i="43"/>
  <c r="K118" i="43" s="1"/>
  <c r="J123" i="43"/>
  <c r="K123" i="43" s="1"/>
  <c r="J127" i="43"/>
  <c r="K127" i="43" s="1"/>
  <c r="J133" i="43"/>
  <c r="K133" i="43" s="1"/>
  <c r="J137" i="43"/>
  <c r="K137" i="43" s="1"/>
  <c r="J141" i="43"/>
  <c r="K141" i="43" s="1"/>
  <c r="M80" i="43"/>
  <c r="D46" i="137" s="1"/>
  <c r="J47" i="49"/>
  <c r="K47" i="49" s="1"/>
  <c r="J60" i="38"/>
  <c r="K60" i="38" s="1"/>
  <c r="J44" i="22"/>
  <c r="K44" i="22" s="1"/>
  <c r="I21" i="135"/>
  <c r="I21" i="50"/>
  <c r="I20" i="50"/>
  <c r="I29" i="52"/>
  <c r="I28" i="52"/>
  <c r="I27" i="52"/>
  <c r="I26" i="52"/>
  <c r="I25" i="52"/>
  <c r="I29" i="54"/>
  <c r="D49" i="93"/>
  <c r="J79" i="24"/>
  <c r="K79" i="24" s="1"/>
  <c r="J78" i="24"/>
  <c r="K78" i="24" s="1"/>
  <c r="J77" i="24"/>
  <c r="K77" i="24" s="1"/>
  <c r="J75" i="24"/>
  <c r="K75" i="24" s="1"/>
  <c r="J74" i="24"/>
  <c r="K74" i="24" s="1"/>
  <c r="J73" i="24"/>
  <c r="K73" i="24" s="1"/>
  <c r="J72" i="24"/>
  <c r="K72" i="24" s="1"/>
  <c r="J71" i="24"/>
  <c r="K71" i="24" s="1"/>
  <c r="J70" i="24"/>
  <c r="K70" i="24" s="1"/>
  <c r="J69" i="24"/>
  <c r="K69" i="24" s="1"/>
  <c r="J68" i="24"/>
  <c r="K68" i="24" s="1"/>
  <c r="J67" i="24"/>
  <c r="K67" i="24" s="1"/>
  <c r="J66" i="24"/>
  <c r="K66" i="24" s="1"/>
  <c r="J65" i="24"/>
  <c r="K65" i="24" s="1"/>
  <c r="J64" i="24"/>
  <c r="K64" i="24" s="1"/>
  <c r="J63" i="24"/>
  <c r="K63" i="24" s="1"/>
  <c r="J62" i="24"/>
  <c r="K62" i="24" s="1"/>
  <c r="J61" i="24"/>
  <c r="J60" i="24"/>
  <c r="K60" i="24" s="1"/>
  <c r="J59" i="24"/>
  <c r="K59" i="24" s="1"/>
  <c r="J58" i="24"/>
  <c r="E79" i="24"/>
  <c r="I90" i="12"/>
  <c r="I89" i="12"/>
  <c r="I88" i="12"/>
  <c r="I87" i="12"/>
  <c r="I86" i="12"/>
  <c r="I85" i="12"/>
  <c r="I84" i="12"/>
  <c r="I83" i="12"/>
  <c r="I82" i="12"/>
  <c r="I81" i="12"/>
  <c r="I80" i="12"/>
  <c r="I79" i="12"/>
  <c r="I78" i="12"/>
  <c r="I77" i="12"/>
  <c r="I76" i="12"/>
  <c r="I75" i="12"/>
  <c r="I74" i="12"/>
  <c r="I73" i="12"/>
  <c r="I72" i="12"/>
  <c r="I71" i="12"/>
  <c r="E72" i="12"/>
  <c r="E70" i="12"/>
  <c r="I46" i="5"/>
  <c r="I45" i="5"/>
  <c r="I44" i="5"/>
  <c r="I43" i="5"/>
  <c r="I42" i="5"/>
  <c r="I41" i="5"/>
  <c r="I40" i="5"/>
  <c r="I39" i="5"/>
  <c r="I38" i="5"/>
  <c r="I37" i="5"/>
  <c r="I36" i="5"/>
  <c r="I35" i="5"/>
  <c r="I34" i="5"/>
  <c r="D36" i="5"/>
  <c r="D35" i="5"/>
  <c r="D34" i="5"/>
  <c r="I32" i="4"/>
  <c r="I31" i="4"/>
  <c r="I30" i="4"/>
  <c r="I35" i="4" s="1"/>
  <c r="J35" i="4" s="1"/>
  <c r="K35" i="4" s="1"/>
  <c r="I29" i="4"/>
  <c r="I28" i="4"/>
  <c r="I27" i="4"/>
  <c r="I34" i="53"/>
  <c r="I33" i="53"/>
  <c r="I32" i="53"/>
  <c r="I36" i="53" s="1"/>
  <c r="J36" i="53" s="1"/>
  <c r="K36" i="53" s="1"/>
  <c r="I31" i="53"/>
  <c r="I30" i="53"/>
  <c r="I29" i="53"/>
  <c r="I28" i="53"/>
  <c r="I31" i="52" l="1"/>
  <c r="J31" i="52" s="1"/>
  <c r="K31" i="52" s="1"/>
  <c r="J38" i="5"/>
  <c r="K38" i="5"/>
  <c r="J40" i="5"/>
  <c r="K40" i="5" s="1"/>
  <c r="J44" i="5"/>
  <c r="K44" i="5" s="1"/>
  <c r="J74" i="12"/>
  <c r="K74" i="12"/>
  <c r="J37" i="93"/>
  <c r="K37" i="93" s="1"/>
  <c r="J41" i="93"/>
  <c r="K41" i="93" s="1"/>
  <c r="J21" i="50"/>
  <c r="K21" i="50" s="1"/>
  <c r="J37" i="5"/>
  <c r="K37" i="5"/>
  <c r="J41" i="5"/>
  <c r="K41" i="5"/>
  <c r="J45" i="5"/>
  <c r="K45" i="5"/>
  <c r="J71" i="12"/>
  <c r="K71" i="12" s="1"/>
  <c r="J38" i="93"/>
  <c r="K38" i="93" s="1"/>
  <c r="J42" i="93"/>
  <c r="K42" i="93" s="1"/>
  <c r="J29" i="54"/>
  <c r="K29" i="54" s="1"/>
  <c r="J21" i="135"/>
  <c r="K21" i="135" s="1"/>
  <c r="J34" i="5"/>
  <c r="K34" i="5" s="1"/>
  <c r="J72" i="12"/>
  <c r="K72" i="12" s="1"/>
  <c r="J43" i="93"/>
  <c r="K43" i="93"/>
  <c r="J46" i="5"/>
  <c r="K46" i="5"/>
  <c r="J35" i="5"/>
  <c r="K35" i="5" s="1"/>
  <c r="J39" i="5"/>
  <c r="K39" i="5" s="1"/>
  <c r="J43" i="5"/>
  <c r="K43" i="5" s="1"/>
  <c r="J73" i="12"/>
  <c r="K73" i="12"/>
  <c r="J40" i="93"/>
  <c r="K40" i="93" s="1"/>
  <c r="J44" i="93"/>
  <c r="K44" i="93" s="1"/>
  <c r="J20" i="50"/>
  <c r="K20" i="50" s="1"/>
  <c r="J42" i="5"/>
  <c r="K42" i="5" s="1"/>
  <c r="J39" i="93"/>
  <c r="K39" i="93" s="1"/>
  <c r="J36" i="5"/>
  <c r="K36" i="5" s="1"/>
  <c r="J45" i="93"/>
  <c r="K45" i="93" s="1"/>
  <c r="J29" i="4"/>
  <c r="K29" i="4" s="1"/>
  <c r="J30" i="4"/>
  <c r="K30" i="4" s="1"/>
  <c r="J27" i="4"/>
  <c r="K27" i="4" s="1"/>
  <c r="J31" i="4"/>
  <c r="K31" i="4"/>
  <c r="J32" i="4"/>
  <c r="K32" i="4" s="1"/>
  <c r="J29" i="53"/>
  <c r="K29" i="53" s="1"/>
  <c r="J33" i="53"/>
  <c r="K33" i="53" s="1"/>
  <c r="J34" i="53"/>
  <c r="K34" i="53" s="1"/>
  <c r="J31" i="53"/>
  <c r="K31" i="53"/>
  <c r="J30" i="53"/>
  <c r="K30" i="53" s="1"/>
  <c r="J28" i="53"/>
  <c r="K28" i="53"/>
  <c r="J32" i="53"/>
  <c r="K32" i="53" s="1"/>
  <c r="J28" i="52"/>
  <c r="K28" i="52" s="1"/>
  <c r="J29" i="52"/>
  <c r="K29" i="52" s="1"/>
  <c r="J26" i="52"/>
  <c r="K26" i="52" s="1"/>
  <c r="J25" i="52"/>
  <c r="K25" i="52" s="1"/>
  <c r="J27" i="52"/>
  <c r="K27" i="52" s="1"/>
  <c r="J75" i="12"/>
  <c r="K75" i="12" s="1"/>
  <c r="J79" i="12"/>
  <c r="K79" i="12" s="1"/>
  <c r="J83" i="12"/>
  <c r="K83" i="12" s="1"/>
  <c r="J87" i="12"/>
  <c r="K87" i="12" s="1"/>
  <c r="J92" i="12"/>
  <c r="K92" i="12" s="1"/>
  <c r="J76" i="12"/>
  <c r="K76" i="12" s="1"/>
  <c r="J84" i="12"/>
  <c r="K84" i="12" s="1"/>
  <c r="J88" i="12"/>
  <c r="K88" i="12" s="1"/>
  <c r="J93" i="12"/>
  <c r="K93" i="12" s="1"/>
  <c r="J77" i="12"/>
  <c r="K77" i="12" s="1"/>
  <c r="J81" i="12"/>
  <c r="K81" i="12" s="1"/>
  <c r="J85" i="12"/>
  <c r="K85" i="12" s="1"/>
  <c r="J89" i="12"/>
  <c r="K89" i="12" s="1"/>
  <c r="J95" i="12"/>
  <c r="K95" i="12" s="1"/>
  <c r="J80" i="12"/>
  <c r="K80" i="12" s="1"/>
  <c r="J78" i="12"/>
  <c r="K78" i="12" s="1"/>
  <c r="J82" i="12"/>
  <c r="K82" i="12" s="1"/>
  <c r="J86" i="12"/>
  <c r="K86" i="12" s="1"/>
  <c r="J90" i="12"/>
  <c r="K90" i="12" s="1"/>
  <c r="J96" i="12"/>
  <c r="K96" i="12" s="1"/>
  <c r="J36" i="93"/>
  <c r="K36" i="93" s="1"/>
  <c r="J28" i="4"/>
  <c r="K28" i="4" s="1"/>
  <c r="K90" i="43" l="1"/>
  <c r="J90" i="43" s="1"/>
  <c r="K91" i="43"/>
  <c r="J91" i="43" s="1"/>
  <c r="G68" i="26"/>
  <c r="G49" i="26"/>
  <c r="G55" i="26" s="1"/>
  <c r="H8" i="66" s="1"/>
  <c r="G73" i="26"/>
  <c r="G24" i="26"/>
  <c r="G25" i="26" s="1"/>
  <c r="G28" i="26" s="1"/>
  <c r="H7" i="66" s="1"/>
  <c r="H19" i="66" l="1"/>
  <c r="K95" i="43"/>
  <c r="K53" i="26" s="1"/>
  <c r="G80" i="26"/>
  <c r="G9" i="26"/>
  <c r="L89" i="15"/>
  <c r="L12" i="17" s="1"/>
  <c r="I64" i="17" s="1"/>
  <c r="I54" i="30"/>
  <c r="K57" i="12"/>
  <c r="G15" i="4"/>
  <c r="G18" i="4" s="1"/>
  <c r="G29" i="6"/>
  <c r="G59" i="6"/>
  <c r="G56" i="6"/>
  <c r="G25" i="5"/>
  <c r="F92" i="129" s="1"/>
  <c r="G22" i="5"/>
  <c r="G12" i="5"/>
  <c r="G41" i="12"/>
  <c r="G14" i="12"/>
  <c r="G13" i="24"/>
  <c r="F13" i="24"/>
  <c r="G35" i="24"/>
  <c r="G26" i="93"/>
  <c r="G20" i="93"/>
  <c r="G20" i="54"/>
  <c r="G18" i="53"/>
  <c r="G20" i="53" s="1"/>
  <c r="G15" i="52"/>
  <c r="G57" i="51"/>
  <c r="G52" i="51"/>
  <c r="G29" i="51"/>
  <c r="G11" i="50"/>
  <c r="G14" i="50" s="1"/>
  <c r="G12" i="135"/>
  <c r="G15" i="135" s="1"/>
  <c r="G13" i="49"/>
  <c r="G25" i="49"/>
  <c r="G15" i="11"/>
  <c r="G37" i="11"/>
  <c r="G12" i="10"/>
  <c r="G15" i="10" s="1"/>
  <c r="G11" i="9"/>
  <c r="G24" i="9"/>
  <c r="G36" i="8"/>
  <c r="G12" i="7"/>
  <c r="G17" i="7" s="1"/>
  <c r="G24" i="22"/>
  <c r="G13" i="22"/>
  <c r="G18" i="18"/>
  <c r="G49" i="17"/>
  <c r="G53" i="15"/>
  <c r="G51" i="15"/>
  <c r="G50" i="15"/>
  <c r="G49" i="15"/>
  <c r="G47" i="15"/>
  <c r="G46" i="15"/>
  <c r="G45" i="15"/>
  <c r="G44" i="15"/>
  <c r="G43" i="15"/>
  <c r="G42" i="15"/>
  <c r="G41" i="15"/>
  <c r="G40" i="15"/>
  <c r="G39" i="15"/>
  <c r="G38" i="15"/>
  <c r="G37" i="15"/>
  <c r="G36" i="15"/>
  <c r="G35" i="15"/>
  <c r="G34" i="15"/>
  <c r="G33" i="15"/>
  <c r="G32" i="15"/>
  <c r="G31" i="15"/>
  <c r="G29" i="15"/>
  <c r="G28" i="15"/>
  <c r="G27" i="15"/>
  <c r="G26" i="15"/>
  <c r="G25" i="15"/>
  <c r="G24" i="15"/>
  <c r="G23" i="15"/>
  <c r="G22" i="15"/>
  <c r="G21" i="15"/>
  <c r="G20" i="15"/>
  <c r="G19" i="15"/>
  <c r="G16" i="15"/>
  <c r="G15" i="15"/>
  <c r="G14" i="15"/>
  <c r="G13" i="15"/>
  <c r="G12" i="15"/>
  <c r="G11" i="15"/>
  <c r="G10" i="15"/>
  <c r="G9" i="15"/>
  <c r="G17" i="23"/>
  <c r="G13" i="23"/>
  <c r="G16" i="17"/>
  <c r="G21" i="56"/>
  <c r="G12" i="56"/>
  <c r="G14" i="13"/>
  <c r="G118" i="66" s="1"/>
  <c r="G11" i="13"/>
  <c r="G117" i="66" s="1"/>
  <c r="G17" i="86"/>
  <c r="G10" i="86"/>
  <c r="G10" i="48"/>
  <c r="G12" i="48" s="1"/>
  <c r="G16" i="47"/>
  <c r="G14" i="46"/>
  <c r="G10" i="46"/>
  <c r="G10" i="45"/>
  <c r="G12" i="45" s="1"/>
  <c r="G32" i="44"/>
  <c r="G24" i="60"/>
  <c r="G19" i="60"/>
  <c r="G28" i="43"/>
  <c r="G56" i="43"/>
  <c r="G53" i="43"/>
  <c r="G39" i="87"/>
  <c r="G41" i="87" s="1"/>
  <c r="F19" i="129"/>
  <c r="G15" i="41"/>
  <c r="G18" i="41" s="1"/>
  <c r="G28" i="40"/>
  <c r="G12" i="40"/>
  <c r="G34" i="38"/>
  <c r="G21" i="77"/>
  <c r="G21" i="149"/>
  <c r="G11" i="149"/>
  <c r="G16" i="35"/>
  <c r="G31" i="35"/>
  <c r="G16" i="34"/>
  <c r="G39" i="34"/>
  <c r="G38" i="66" s="1"/>
  <c r="G36" i="34"/>
  <c r="G24" i="33"/>
  <c r="G11" i="33"/>
  <c r="G11" i="32"/>
  <c r="G14" i="32" s="1"/>
  <c r="G15" i="31"/>
  <c r="G18" i="31" s="1"/>
  <c r="G34" i="30"/>
  <c r="G19" i="30"/>
  <c r="G21" i="29"/>
  <c r="G10" i="29"/>
  <c r="D118" i="137" l="1"/>
  <c r="F18" i="129"/>
  <c r="G45" i="66"/>
  <c r="G21" i="47"/>
  <c r="F30" i="129" s="1"/>
  <c r="G58" i="66"/>
  <c r="F54" i="129"/>
  <c r="G86" i="66"/>
  <c r="F8" i="129"/>
  <c r="G34" i="66"/>
  <c r="F28" i="129"/>
  <c r="G56" i="66"/>
  <c r="F31" i="129"/>
  <c r="G60" i="66"/>
  <c r="F55" i="129"/>
  <c r="G87" i="66"/>
  <c r="F9" i="129"/>
  <c r="G35" i="66"/>
  <c r="G71" i="66"/>
  <c r="F48" i="129"/>
  <c r="G79" i="66"/>
  <c r="G22" i="54"/>
  <c r="F66" i="129" s="1"/>
  <c r="G99" i="66"/>
  <c r="J64" i="17"/>
  <c r="K64" i="17" s="1"/>
  <c r="G119" i="66"/>
  <c r="F62" i="129"/>
  <c r="G95" i="66"/>
  <c r="J54" i="30"/>
  <c r="K54" i="30" s="1"/>
  <c r="F83" i="129"/>
  <c r="G109" i="66"/>
  <c r="G47" i="66"/>
  <c r="F20" i="129"/>
  <c r="F65" i="129"/>
  <c r="G98" i="66"/>
  <c r="F25" i="129"/>
  <c r="G53" i="66"/>
  <c r="G19" i="13"/>
  <c r="G23" i="29"/>
  <c r="G23" i="77"/>
  <c r="G42" i="66" s="1"/>
  <c r="F15" i="129"/>
  <c r="G23" i="56"/>
  <c r="G30" i="93"/>
  <c r="G36" i="38"/>
  <c r="G54" i="17"/>
  <c r="G27" i="49"/>
  <c r="G13" i="26"/>
  <c r="G16" i="26" s="1"/>
  <c r="H6" i="66" s="1"/>
  <c r="H23" i="66" s="1"/>
  <c r="H8" i="26"/>
  <c r="G43" i="12"/>
  <c r="F81" i="129" s="1"/>
  <c r="G17" i="15"/>
  <c r="G61" i="6"/>
  <c r="G27" i="5"/>
  <c r="G37" i="24"/>
  <c r="G60" i="51"/>
  <c r="G42" i="11"/>
  <c r="G26" i="9"/>
  <c r="G38" i="8"/>
  <c r="G26" i="22"/>
  <c r="G12" i="18"/>
  <c r="G20" i="18" s="1"/>
  <c r="G19" i="23"/>
  <c r="G19" i="86"/>
  <c r="G16" i="46"/>
  <c r="G34" i="44"/>
  <c r="G26" i="60"/>
  <c r="G58" i="43"/>
  <c r="G30" i="40"/>
  <c r="G23" i="149"/>
  <c r="G33" i="35"/>
  <c r="G41" i="34"/>
  <c r="G26" i="33"/>
  <c r="G36" i="30"/>
  <c r="I11" i="149"/>
  <c r="I19" i="47"/>
  <c r="I59" i="66" s="1"/>
  <c r="I16" i="47"/>
  <c r="I58" i="66" s="1"/>
  <c r="I10" i="86"/>
  <c r="E28" i="2"/>
  <c r="F67" i="129" l="1"/>
  <c r="G101" i="66"/>
  <c r="F32" i="129"/>
  <c r="G61" i="66"/>
  <c r="F47" i="129"/>
  <c r="F49" i="129" s="1"/>
  <c r="G78" i="66"/>
  <c r="J47" i="93"/>
  <c r="K47" i="93"/>
  <c r="J46" i="93"/>
  <c r="K46" i="93" s="1"/>
  <c r="F53" i="129"/>
  <c r="G85" i="66"/>
  <c r="F11" i="129"/>
  <c r="G37" i="66"/>
  <c r="F91" i="129"/>
  <c r="F93" i="129" s="1"/>
  <c r="G107" i="66"/>
  <c r="F29" i="129"/>
  <c r="G57" i="66"/>
  <c r="F16" i="129"/>
  <c r="G43" i="66"/>
  <c r="F39" i="129"/>
  <c r="G69" i="66"/>
  <c r="F38" i="129"/>
  <c r="G68" i="66"/>
  <c r="I12" i="18"/>
  <c r="F6" i="129"/>
  <c r="G32" i="66"/>
  <c r="G75" i="26"/>
  <c r="G85" i="26" s="1"/>
  <c r="F52" i="129"/>
  <c r="G84" i="66"/>
  <c r="F27" i="129"/>
  <c r="G55" i="66"/>
  <c r="F14" i="129"/>
  <c r="G41" i="66"/>
  <c r="F7" i="129"/>
  <c r="G33" i="66"/>
  <c r="F82" i="129"/>
  <c r="F84" i="129" s="1"/>
  <c r="G108" i="66"/>
  <c r="F10" i="129"/>
  <c r="G36" i="66"/>
  <c r="F104" i="129"/>
  <c r="G114" i="66"/>
  <c r="F59" i="129"/>
  <c r="G92" i="66"/>
  <c r="F17" i="129"/>
  <c r="G44" i="66"/>
  <c r="H9" i="26"/>
  <c r="J8" i="26" s="1"/>
  <c r="G106" i="66"/>
  <c r="F46" i="129"/>
  <c r="G77" i="66"/>
  <c r="F12" i="129"/>
  <c r="G39" i="66"/>
  <c r="F24" i="129"/>
  <c r="F33" i="129" s="1"/>
  <c r="G52" i="66"/>
  <c r="F26" i="129"/>
  <c r="G54" i="66"/>
  <c r="I21" i="47"/>
  <c r="I39" i="87"/>
  <c r="K54" i="12"/>
  <c r="D115" i="137" l="1"/>
  <c r="G89" i="66"/>
  <c r="J9" i="26"/>
  <c r="J13" i="26" s="1"/>
  <c r="F56" i="129"/>
  <c r="F95" i="129"/>
  <c r="F21" i="129"/>
  <c r="G111" i="66"/>
  <c r="G49" i="66"/>
  <c r="G63" i="66"/>
  <c r="K8" i="26" l="1"/>
  <c r="K9" i="26" s="1"/>
  <c r="R172" i="66"/>
  <c r="L18" i="53" l="1"/>
  <c r="L15" i="52"/>
  <c r="L25" i="49"/>
  <c r="L37" i="11"/>
  <c r="L24" i="9"/>
  <c r="L36" i="8"/>
  <c r="L24" i="22"/>
  <c r="L21" i="56"/>
  <c r="L17" i="86"/>
  <c r="L16" i="47"/>
  <c r="J35" i="47" s="1"/>
  <c r="K35" i="47" s="1"/>
  <c r="L32" i="44"/>
  <c r="M32" i="44" s="1"/>
  <c r="L24" i="60"/>
  <c r="L39" i="87"/>
  <c r="L15" i="41"/>
  <c r="L28" i="40"/>
  <c r="L34" i="38"/>
  <c r="L21" i="77"/>
  <c r="L21" i="149"/>
  <c r="L31" i="35"/>
  <c r="L36" i="34"/>
  <c r="L24" i="33"/>
  <c r="L15" i="31"/>
  <c r="L34" i="30"/>
  <c r="I15" i="129" l="1"/>
  <c r="M21" i="77"/>
  <c r="M15" i="52"/>
  <c r="J62" i="129" s="1"/>
  <c r="I62" i="129"/>
  <c r="O11" i="66" l="1"/>
  <c r="H28" i="26" l="1"/>
  <c r="I7" i="66" l="1"/>
  <c r="E11" i="12" l="1"/>
  <c r="F11" i="12"/>
  <c r="F9" i="12"/>
  <c r="E9" i="12"/>
  <c r="L12" i="49" l="1"/>
  <c r="I46" i="49" s="1"/>
  <c r="I62" i="8"/>
  <c r="J62" i="8" s="1"/>
  <c r="K62" i="8" s="1"/>
  <c r="J46" i="49" l="1"/>
  <c r="K46" i="49"/>
  <c r="K11" i="9"/>
  <c r="L12" i="7"/>
  <c r="L19" i="47"/>
  <c r="L21" i="47" l="1"/>
  <c r="K59" i="66"/>
  <c r="K88" i="15"/>
  <c r="D85" i="137" s="1"/>
  <c r="I30" i="129" l="1"/>
  <c r="M30" i="129" s="1"/>
  <c r="N30" i="129" s="1"/>
  <c r="M21" i="47"/>
  <c r="J30" i="129" s="1"/>
  <c r="K59" i="12"/>
  <c r="K56" i="12"/>
  <c r="K55" i="12"/>
  <c r="K85" i="141"/>
  <c r="J85" i="141"/>
  <c r="I85" i="141"/>
  <c r="H85" i="141"/>
  <c r="G85" i="141"/>
  <c r="F85" i="141"/>
  <c r="E85" i="141"/>
  <c r="D85" i="141"/>
  <c r="C85" i="141"/>
  <c r="B85" i="141"/>
  <c r="K53" i="12"/>
  <c r="D117" i="137" l="1"/>
  <c r="D120" i="137"/>
  <c r="D116" i="137"/>
  <c r="L9" i="12"/>
  <c r="I70" i="12" s="1"/>
  <c r="J70" i="12" s="1"/>
  <c r="K70" i="12" s="1"/>
  <c r="K30" i="129"/>
  <c r="L30" i="129" s="1"/>
  <c r="G28" i="2"/>
  <c r="I8" i="2"/>
  <c r="K86" i="15"/>
  <c r="D83" i="137" s="1"/>
  <c r="B27" i="133"/>
  <c r="C27" i="133" s="1"/>
  <c r="N119" i="66"/>
  <c r="N123" i="66" s="1"/>
  <c r="P16" i="66"/>
  <c r="P23" i="66" s="1"/>
  <c r="P212" i="66" s="1"/>
  <c r="H73" i="26"/>
  <c r="I39" i="9"/>
  <c r="K85" i="15"/>
  <c r="D82" i="137" s="1"/>
  <c r="K81" i="15"/>
  <c r="D78" i="137" s="1"/>
  <c r="K80" i="15"/>
  <c r="L10" i="22" s="1"/>
  <c r="L13" i="22" s="1"/>
  <c r="K79" i="15"/>
  <c r="D76" i="137" s="1"/>
  <c r="K77" i="15"/>
  <c r="K76" i="15"/>
  <c r="D73" i="137" s="1"/>
  <c r="K75" i="15"/>
  <c r="D72" i="137" s="1"/>
  <c r="K73" i="15"/>
  <c r="D70" i="137" s="1"/>
  <c r="K72" i="15"/>
  <c r="D69" i="137" s="1"/>
  <c r="K84" i="141"/>
  <c r="J84" i="141"/>
  <c r="I84" i="141"/>
  <c r="H84" i="141"/>
  <c r="G84" i="141"/>
  <c r="F84" i="141"/>
  <c r="E84" i="141"/>
  <c r="D84" i="141"/>
  <c r="C84" i="141"/>
  <c r="K83" i="141"/>
  <c r="J83" i="141"/>
  <c r="I83" i="141"/>
  <c r="H83" i="141"/>
  <c r="G83" i="141"/>
  <c r="F83" i="141"/>
  <c r="E83" i="141"/>
  <c r="D83" i="141"/>
  <c r="C83" i="141"/>
  <c r="B83" i="141"/>
  <c r="K71" i="15"/>
  <c r="D68" i="137" s="1"/>
  <c r="K70" i="15"/>
  <c r="D67" i="137" s="1"/>
  <c r="K78" i="15"/>
  <c r="D74" i="137" s="1"/>
  <c r="K74" i="15"/>
  <c r="K66" i="43"/>
  <c r="K43" i="35"/>
  <c r="D18" i="137"/>
  <c r="K86" i="141"/>
  <c r="J86" i="141"/>
  <c r="I86" i="141"/>
  <c r="H86" i="141"/>
  <c r="G86" i="141"/>
  <c r="K79" i="141"/>
  <c r="J79" i="141"/>
  <c r="I79" i="141"/>
  <c r="H79" i="141"/>
  <c r="G79" i="141"/>
  <c r="F79" i="141"/>
  <c r="E79" i="141"/>
  <c r="D79" i="141"/>
  <c r="C79" i="141"/>
  <c r="K78" i="141"/>
  <c r="J78" i="141"/>
  <c r="I78" i="141"/>
  <c r="H78" i="141"/>
  <c r="G78" i="141"/>
  <c r="F78" i="141"/>
  <c r="E78" i="141"/>
  <c r="D78" i="141"/>
  <c r="C78" i="141"/>
  <c r="K77" i="141"/>
  <c r="J77" i="141"/>
  <c r="I77" i="141"/>
  <c r="H77" i="141"/>
  <c r="G77" i="141"/>
  <c r="F77" i="141"/>
  <c r="E77" i="141"/>
  <c r="D77" i="141"/>
  <c r="C77" i="141"/>
  <c r="K76" i="141"/>
  <c r="J76" i="141"/>
  <c r="I76" i="141"/>
  <c r="H76" i="141"/>
  <c r="G76" i="141"/>
  <c r="F76" i="141"/>
  <c r="E76" i="141"/>
  <c r="D76" i="141"/>
  <c r="C76" i="141"/>
  <c r="K75" i="141"/>
  <c r="J75" i="141"/>
  <c r="I75" i="141"/>
  <c r="H75" i="141"/>
  <c r="G75" i="141"/>
  <c r="F75" i="141"/>
  <c r="E75" i="141"/>
  <c r="D75" i="141"/>
  <c r="C75" i="141"/>
  <c r="K74" i="141"/>
  <c r="J74" i="141"/>
  <c r="I74" i="141"/>
  <c r="H74" i="141"/>
  <c r="G74" i="141"/>
  <c r="F74" i="141"/>
  <c r="E74" i="141"/>
  <c r="D74" i="141"/>
  <c r="C74" i="141"/>
  <c r="K73" i="141"/>
  <c r="J73" i="141"/>
  <c r="I73" i="141"/>
  <c r="H73" i="141"/>
  <c r="G73" i="141"/>
  <c r="F73" i="141"/>
  <c r="E73" i="141"/>
  <c r="D73" i="141"/>
  <c r="C73" i="141"/>
  <c r="K72" i="141"/>
  <c r="J72" i="141"/>
  <c r="I72" i="141"/>
  <c r="H72" i="141"/>
  <c r="G72" i="141"/>
  <c r="F72" i="141"/>
  <c r="E72" i="141"/>
  <c r="D72" i="141"/>
  <c r="C72" i="141"/>
  <c r="K71" i="141"/>
  <c r="J71" i="141"/>
  <c r="I71" i="141"/>
  <c r="H71" i="141"/>
  <c r="G71" i="141"/>
  <c r="F71" i="141"/>
  <c r="E71" i="141"/>
  <c r="D71" i="141"/>
  <c r="C71" i="141"/>
  <c r="K70" i="141"/>
  <c r="J70" i="141"/>
  <c r="I70" i="141"/>
  <c r="H70" i="141"/>
  <c r="G70" i="141"/>
  <c r="F70" i="141"/>
  <c r="E70" i="141"/>
  <c r="D70" i="141"/>
  <c r="C70" i="141"/>
  <c r="B79" i="141"/>
  <c r="B78" i="141"/>
  <c r="B77" i="141"/>
  <c r="B76" i="141"/>
  <c r="B75" i="141"/>
  <c r="B84" i="141"/>
  <c r="B74" i="141"/>
  <c r="B73" i="141"/>
  <c r="B72" i="141"/>
  <c r="B71" i="141"/>
  <c r="B70" i="141"/>
  <c r="K67" i="43"/>
  <c r="M67" i="43" s="1"/>
  <c r="D35" i="137" s="1"/>
  <c r="K74" i="43"/>
  <c r="M74" i="43" s="1"/>
  <c r="D42" i="137" s="1"/>
  <c r="K76" i="43"/>
  <c r="M76" i="43" s="1"/>
  <c r="D43" i="137" s="1"/>
  <c r="F15" i="4"/>
  <c r="F18" i="4" s="1"/>
  <c r="F109" i="66" s="1"/>
  <c r="F59" i="6"/>
  <c r="F56" i="6"/>
  <c r="F29" i="6"/>
  <c r="F25" i="5"/>
  <c r="F22" i="5"/>
  <c r="F12" i="5"/>
  <c r="F41" i="12"/>
  <c r="F14" i="12"/>
  <c r="F35" i="24"/>
  <c r="F37" i="24" s="1"/>
  <c r="F114" i="66" s="1"/>
  <c r="F26" i="93"/>
  <c r="F20" i="93"/>
  <c r="F20" i="54"/>
  <c r="F99" i="66" s="1"/>
  <c r="F18" i="53"/>
  <c r="F20" i="53" s="1"/>
  <c r="F98" i="66" s="1"/>
  <c r="F15" i="52"/>
  <c r="F95" i="66" s="1"/>
  <c r="F57" i="51"/>
  <c r="F52" i="51"/>
  <c r="F29" i="51"/>
  <c r="F11" i="50"/>
  <c r="F14" i="50" s="1"/>
  <c r="F87" i="66" s="1"/>
  <c r="F12" i="135"/>
  <c r="F15" i="135" s="1"/>
  <c r="F86" i="66" s="1"/>
  <c r="F25" i="49"/>
  <c r="F13" i="49"/>
  <c r="F37" i="11"/>
  <c r="F15" i="11"/>
  <c r="F12" i="10"/>
  <c r="F15" i="10" s="1"/>
  <c r="F79" i="66" s="1"/>
  <c r="F24" i="9"/>
  <c r="F11" i="9"/>
  <c r="F22" i="8"/>
  <c r="F36" i="8"/>
  <c r="F12" i="7"/>
  <c r="F17" i="7" s="1"/>
  <c r="F71" i="66" s="1"/>
  <c r="F26" i="22"/>
  <c r="F69" i="66" s="1"/>
  <c r="F18" i="18"/>
  <c r="F12" i="18"/>
  <c r="F53" i="15"/>
  <c r="F52" i="15"/>
  <c r="F51" i="15"/>
  <c r="F50" i="15"/>
  <c r="F49" i="15"/>
  <c r="F47" i="15"/>
  <c r="F46" i="15"/>
  <c r="F45" i="15"/>
  <c r="F44" i="15"/>
  <c r="F43" i="15"/>
  <c r="F42" i="15"/>
  <c r="F41" i="15"/>
  <c r="F40" i="15"/>
  <c r="F39" i="15"/>
  <c r="F38" i="15"/>
  <c r="F37" i="15"/>
  <c r="F36" i="15"/>
  <c r="F35" i="15"/>
  <c r="F34" i="15"/>
  <c r="F33" i="15"/>
  <c r="F32" i="15"/>
  <c r="F31" i="15"/>
  <c r="F29" i="15"/>
  <c r="F28" i="15"/>
  <c r="F27" i="15"/>
  <c r="F26" i="15"/>
  <c r="F25" i="15"/>
  <c r="F24" i="15"/>
  <c r="F23" i="15"/>
  <c r="F22" i="15"/>
  <c r="F21" i="15"/>
  <c r="F20" i="15"/>
  <c r="F19" i="15"/>
  <c r="F16" i="15"/>
  <c r="F15" i="15"/>
  <c r="F14" i="15"/>
  <c r="F13" i="15"/>
  <c r="F12" i="15"/>
  <c r="F11" i="15"/>
  <c r="F10" i="15"/>
  <c r="F9" i="15"/>
  <c r="F49" i="17"/>
  <c r="F16" i="17"/>
  <c r="F17" i="23"/>
  <c r="F13" i="23"/>
  <c r="F21" i="56"/>
  <c r="F23" i="56" s="1"/>
  <c r="F12" i="56"/>
  <c r="F14" i="13"/>
  <c r="F118" i="66" s="1"/>
  <c r="F11" i="13"/>
  <c r="F17" i="86"/>
  <c r="F10" i="86"/>
  <c r="F10" i="48"/>
  <c r="F12" i="48" s="1"/>
  <c r="F60" i="66" s="1"/>
  <c r="F16" i="47"/>
  <c r="F14" i="46"/>
  <c r="F10" i="46"/>
  <c r="F32" i="44"/>
  <c r="F24" i="60"/>
  <c r="F19" i="60"/>
  <c r="F56" i="43"/>
  <c r="F53" i="66" s="1"/>
  <c r="F53" i="43"/>
  <c r="F26" i="43"/>
  <c r="F28" i="43" s="1"/>
  <c r="F39" i="87"/>
  <c r="F41" i="87" s="1"/>
  <c r="F47" i="66" s="1"/>
  <c r="F15" i="41"/>
  <c r="F18" i="41" s="1"/>
  <c r="F45" i="66" s="1"/>
  <c r="F28" i="40"/>
  <c r="F12" i="40"/>
  <c r="F34" i="38"/>
  <c r="F17" i="38"/>
  <c r="F21" i="77"/>
  <c r="F21" i="149"/>
  <c r="F11" i="149"/>
  <c r="F12" i="36"/>
  <c r="F15" i="36" s="1"/>
  <c r="F40" i="66" s="1"/>
  <c r="F16" i="35"/>
  <c r="F31" i="35"/>
  <c r="F39" i="34"/>
  <c r="F38" i="66" s="1"/>
  <c r="C23" i="34"/>
  <c r="F23" i="34"/>
  <c r="F36" i="34" s="1"/>
  <c r="F11" i="34"/>
  <c r="F16" i="34" s="1"/>
  <c r="F24" i="33"/>
  <c r="F11" i="33"/>
  <c r="F11" i="32"/>
  <c r="F14" i="32" s="1"/>
  <c r="F35" i="66" s="1"/>
  <c r="F15" i="31"/>
  <c r="F18" i="31" s="1"/>
  <c r="F34" i="66" s="1"/>
  <c r="F34" i="30"/>
  <c r="F19" i="30"/>
  <c r="F21" i="29"/>
  <c r="F10" i="29"/>
  <c r="I11" i="9"/>
  <c r="E21" i="34"/>
  <c r="D21" i="34"/>
  <c r="C21" i="34"/>
  <c r="I25" i="5"/>
  <c r="F10" i="45"/>
  <c r="F12" i="45" s="1"/>
  <c r="F56" i="66" s="1"/>
  <c r="E10" i="45"/>
  <c r="E12" i="45" s="1"/>
  <c r="I21" i="29"/>
  <c r="I10" i="29"/>
  <c r="M15" i="4"/>
  <c r="M35" i="24"/>
  <c r="M26" i="93"/>
  <c r="M20" i="93"/>
  <c r="M18" i="53"/>
  <c r="L20" i="53"/>
  <c r="M12" i="135"/>
  <c r="M25" i="49"/>
  <c r="M40" i="11"/>
  <c r="M37" i="11"/>
  <c r="M12" i="10"/>
  <c r="M24" i="9"/>
  <c r="M36" i="8"/>
  <c r="M15" i="7"/>
  <c r="M12" i="7"/>
  <c r="M13" i="22"/>
  <c r="I34" i="22"/>
  <c r="M18" i="18"/>
  <c r="I27" i="18"/>
  <c r="M49" i="17"/>
  <c r="M17" i="23"/>
  <c r="M21" i="56"/>
  <c r="M17" i="86"/>
  <c r="M10" i="86"/>
  <c r="M10" i="48"/>
  <c r="M16" i="47"/>
  <c r="L58" i="66"/>
  <c r="M14" i="46"/>
  <c r="M10" i="46"/>
  <c r="M10" i="45"/>
  <c r="L56" i="66"/>
  <c r="M24" i="60"/>
  <c r="M28" i="40"/>
  <c r="M34" i="38"/>
  <c r="J15" i="129"/>
  <c r="M21" i="149"/>
  <c r="M31" i="35"/>
  <c r="M39" i="34"/>
  <c r="M36" i="34"/>
  <c r="M24" i="33"/>
  <c r="M11" i="32"/>
  <c r="M15" i="31"/>
  <c r="M34" i="30"/>
  <c r="M21" i="29"/>
  <c r="M15" i="41"/>
  <c r="C36" i="143"/>
  <c r="F24" i="26"/>
  <c r="F25" i="26" s="1"/>
  <c r="F28" i="26" s="1"/>
  <c r="G7" i="66" s="1"/>
  <c r="F78" i="26"/>
  <c r="G19" i="66" s="1"/>
  <c r="E15" i="86"/>
  <c r="E12" i="86" s="1"/>
  <c r="E17" i="86" s="1"/>
  <c r="D12" i="86"/>
  <c r="C15" i="86"/>
  <c r="C12" i="86" s="1"/>
  <c r="C17" i="86" s="1"/>
  <c r="F79" i="26"/>
  <c r="G20" i="66" s="1"/>
  <c r="K14" i="46"/>
  <c r="S175" i="66"/>
  <c r="P72" i="43"/>
  <c r="L25" i="5"/>
  <c r="D19" i="77"/>
  <c r="D18" i="77"/>
  <c r="I21" i="56"/>
  <c r="I21" i="77"/>
  <c r="M15" i="129" s="1"/>
  <c r="N15" i="129" s="1"/>
  <c r="K21" i="77"/>
  <c r="K23" i="77" s="1"/>
  <c r="C21" i="77"/>
  <c r="K21" i="149"/>
  <c r="I21" i="149"/>
  <c r="E21" i="149"/>
  <c r="D21" i="149"/>
  <c r="C21" i="149"/>
  <c r="L11" i="149"/>
  <c r="K11" i="149"/>
  <c r="E11" i="149"/>
  <c r="D11" i="149"/>
  <c r="C11" i="149"/>
  <c r="O17" i="66"/>
  <c r="O117" i="66" s="1"/>
  <c r="I12" i="10"/>
  <c r="L10" i="86"/>
  <c r="L19" i="86" s="1"/>
  <c r="I32" i="129" s="1"/>
  <c r="L10" i="46"/>
  <c r="L21" i="29"/>
  <c r="L10" i="29"/>
  <c r="Q32" i="6"/>
  <c r="P32" i="6"/>
  <c r="O32" i="6"/>
  <c r="L32" i="6" s="1"/>
  <c r="U33" i="51"/>
  <c r="T33" i="51"/>
  <c r="S33" i="51"/>
  <c r="R33" i="51"/>
  <c r="Q33" i="51"/>
  <c r="P33" i="51"/>
  <c r="O33" i="51"/>
  <c r="L33" i="51" s="1"/>
  <c r="U11" i="51"/>
  <c r="T11" i="51"/>
  <c r="S11" i="51"/>
  <c r="R11" i="51"/>
  <c r="Q11" i="51"/>
  <c r="P11" i="51"/>
  <c r="O11" i="51"/>
  <c r="L11" i="51" s="1"/>
  <c r="P25" i="93"/>
  <c r="P26" i="93" s="1"/>
  <c r="O25" i="93"/>
  <c r="Q26" i="93"/>
  <c r="Q20" i="93"/>
  <c r="P20" i="93"/>
  <c r="O20" i="93"/>
  <c r="O36" i="6"/>
  <c r="L36" i="6" s="1"/>
  <c r="L41" i="51"/>
  <c r="L34" i="51"/>
  <c r="G15" i="2" s="1"/>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AR57" i="51"/>
  <c r="AQ57" i="51"/>
  <c r="AP57" i="51"/>
  <c r="AO57" i="51"/>
  <c r="AN57" i="51"/>
  <c r="AM57" i="51"/>
  <c r="AL57" i="51"/>
  <c r="AK57" i="51"/>
  <c r="AJ57" i="51"/>
  <c r="AI57" i="51"/>
  <c r="AH57" i="51"/>
  <c r="AG57" i="51"/>
  <c r="AF57" i="51"/>
  <c r="AE57" i="51"/>
  <c r="AD57" i="51"/>
  <c r="AC57" i="51"/>
  <c r="AB57" i="51"/>
  <c r="AA57" i="51"/>
  <c r="Z57" i="51"/>
  <c r="Y57" i="51"/>
  <c r="X57" i="51"/>
  <c r="W57" i="51"/>
  <c r="V57" i="51"/>
  <c r="U57" i="51"/>
  <c r="T57" i="51"/>
  <c r="S57" i="51"/>
  <c r="R57" i="51"/>
  <c r="Q57" i="51"/>
  <c r="P57" i="51"/>
  <c r="O57" i="51"/>
  <c r="AJ74" i="148"/>
  <c r="AI74" i="148"/>
  <c r="AJ64" i="148"/>
  <c r="AI64" i="148"/>
  <c r="AJ22" i="148"/>
  <c r="AI22" i="148"/>
  <c r="AJ21" i="148"/>
  <c r="AI21" i="148"/>
  <c r="AJ20" i="148"/>
  <c r="AI20" i="148"/>
  <c r="AJ19" i="148"/>
  <c r="AI19" i="148"/>
  <c r="AJ18" i="148"/>
  <c r="AI18" i="148"/>
  <c r="AJ17" i="148"/>
  <c r="AI17" i="148"/>
  <c r="AJ13" i="148"/>
  <c r="AI13" i="148"/>
  <c r="AJ12" i="148"/>
  <c r="AI12" i="148"/>
  <c r="AJ11" i="148"/>
  <c r="AI11" i="148"/>
  <c r="AJ10" i="148"/>
  <c r="AI10" i="148"/>
  <c r="AH74" i="148"/>
  <c r="AG74" i="148"/>
  <c r="AF74" i="148"/>
  <c r="AE74" i="148"/>
  <c r="AD74" i="148"/>
  <c r="AH64" i="148"/>
  <c r="AG64" i="148"/>
  <c r="AF64" i="148"/>
  <c r="AE64" i="148"/>
  <c r="AD64" i="148"/>
  <c r="AH22" i="148"/>
  <c r="AG22" i="148"/>
  <c r="AF22" i="148"/>
  <c r="AE22" i="148"/>
  <c r="AD22" i="148"/>
  <c r="AH21" i="148"/>
  <c r="AG21" i="148"/>
  <c r="AF21" i="148"/>
  <c r="AE21" i="148"/>
  <c r="AD21" i="148"/>
  <c r="AH20" i="148"/>
  <c r="AG20" i="148"/>
  <c r="AF20" i="148"/>
  <c r="AE20" i="148"/>
  <c r="AD20" i="148"/>
  <c r="AH19" i="148"/>
  <c r="AG19" i="148"/>
  <c r="AF19" i="148"/>
  <c r="AE19" i="148"/>
  <c r="AD19" i="148"/>
  <c r="AH18" i="148"/>
  <c r="AG18" i="148"/>
  <c r="AF18" i="148"/>
  <c r="AE18" i="148"/>
  <c r="AD18" i="148"/>
  <c r="AH17" i="148"/>
  <c r="AG17" i="148"/>
  <c r="AF17" i="148"/>
  <c r="AE17" i="148"/>
  <c r="AD17" i="148"/>
  <c r="AH13" i="148"/>
  <c r="AG13" i="148"/>
  <c r="AF13" i="148"/>
  <c r="AE13" i="148"/>
  <c r="AD13" i="148"/>
  <c r="AH12" i="148"/>
  <c r="AG12" i="148"/>
  <c r="AF12" i="148"/>
  <c r="AE12" i="148"/>
  <c r="AD12" i="148"/>
  <c r="AH11" i="148"/>
  <c r="AG11" i="148"/>
  <c r="AF11" i="148"/>
  <c r="AE11" i="148"/>
  <c r="AD11" i="148"/>
  <c r="AH10" i="148"/>
  <c r="AG10" i="148"/>
  <c r="AO13" i="51"/>
  <c r="AF10" i="148"/>
  <c r="AE10" i="148"/>
  <c r="AM13" i="51"/>
  <c r="AD10" i="148"/>
  <c r="AC74" i="148"/>
  <c r="AB74" i="148"/>
  <c r="AA74" i="148"/>
  <c r="Z74" i="148"/>
  <c r="Y74" i="148"/>
  <c r="X74" i="148"/>
  <c r="W74" i="148"/>
  <c r="V74" i="148"/>
  <c r="AC64" i="148"/>
  <c r="AB64" i="148"/>
  <c r="AA64" i="148"/>
  <c r="Z64" i="148"/>
  <c r="Y64" i="148"/>
  <c r="X64" i="148"/>
  <c r="W64" i="148"/>
  <c r="V64" i="148"/>
  <c r="AC22" i="148"/>
  <c r="AB22" i="148"/>
  <c r="AA22" i="148"/>
  <c r="Z22" i="148"/>
  <c r="Y22" i="148"/>
  <c r="X22" i="148"/>
  <c r="W22" i="148"/>
  <c r="V22" i="148"/>
  <c r="AC21" i="148"/>
  <c r="AB21" i="148"/>
  <c r="AA21" i="148"/>
  <c r="Z21" i="148"/>
  <c r="Y21" i="148"/>
  <c r="X21" i="148"/>
  <c r="W21" i="148"/>
  <c r="V21" i="148"/>
  <c r="AC20" i="148"/>
  <c r="AB20" i="148"/>
  <c r="AA20" i="148"/>
  <c r="Z20" i="148"/>
  <c r="Y20" i="148"/>
  <c r="X20" i="148"/>
  <c r="W20" i="148"/>
  <c r="V20" i="148"/>
  <c r="AC19" i="148"/>
  <c r="AB19" i="148"/>
  <c r="AA19" i="148"/>
  <c r="Z19" i="148"/>
  <c r="Y19" i="148"/>
  <c r="X19" i="148"/>
  <c r="W19" i="148"/>
  <c r="V19" i="148"/>
  <c r="AC18" i="148"/>
  <c r="AB18" i="148"/>
  <c r="AA18" i="148"/>
  <c r="Z18" i="148"/>
  <c r="Y18" i="148"/>
  <c r="X18" i="148"/>
  <c r="W18" i="148"/>
  <c r="V18" i="148"/>
  <c r="AC17" i="148"/>
  <c r="AB17" i="148"/>
  <c r="AA17" i="148"/>
  <c r="Z17" i="148"/>
  <c r="Y17" i="148"/>
  <c r="X17" i="148"/>
  <c r="W17" i="148"/>
  <c r="V17" i="148"/>
  <c r="AC13" i="148"/>
  <c r="AB13" i="148"/>
  <c r="AA13" i="148"/>
  <c r="Z13" i="148"/>
  <c r="Y13" i="148"/>
  <c r="X13" i="148"/>
  <c r="W13" i="148"/>
  <c r="V13" i="148"/>
  <c r="AC12" i="148"/>
  <c r="AB12" i="148"/>
  <c r="AA12" i="148"/>
  <c r="Z12" i="148"/>
  <c r="Y12" i="148"/>
  <c r="X12" i="148"/>
  <c r="X37" i="148" s="1"/>
  <c r="W12" i="148"/>
  <c r="V12" i="148"/>
  <c r="AC11" i="148"/>
  <c r="AB11" i="148"/>
  <c r="AA11" i="148"/>
  <c r="Z11" i="148"/>
  <c r="Y11" i="148"/>
  <c r="X11" i="148"/>
  <c r="W11" i="148"/>
  <c r="V11" i="148"/>
  <c r="AC10" i="148"/>
  <c r="AB10" i="148"/>
  <c r="AA10" i="148"/>
  <c r="Z10" i="148"/>
  <c r="Y10" i="148"/>
  <c r="X10" i="148"/>
  <c r="W10" i="148"/>
  <c r="V10" i="148"/>
  <c r="U74" i="148"/>
  <c r="T74" i="148"/>
  <c r="S74" i="148"/>
  <c r="R74" i="148"/>
  <c r="Q74" i="148"/>
  <c r="P74" i="148"/>
  <c r="O74" i="148"/>
  <c r="N74" i="148"/>
  <c r="M74" i="148"/>
  <c r="L74" i="148"/>
  <c r="K74" i="148"/>
  <c r="J74" i="148"/>
  <c r="I74" i="148"/>
  <c r="H74" i="148"/>
  <c r="G74" i="148"/>
  <c r="F74" i="148"/>
  <c r="E74" i="148"/>
  <c r="D74" i="148"/>
  <c r="U64" i="148"/>
  <c r="T64" i="148"/>
  <c r="S64" i="148"/>
  <c r="R64" i="148"/>
  <c r="Q64" i="148"/>
  <c r="P64" i="148"/>
  <c r="O64" i="148"/>
  <c r="N64" i="148"/>
  <c r="M64" i="148"/>
  <c r="L64" i="148"/>
  <c r="K64" i="148"/>
  <c r="J64" i="148"/>
  <c r="I64" i="148"/>
  <c r="H64" i="148"/>
  <c r="G64" i="148"/>
  <c r="F64" i="148"/>
  <c r="E64" i="148"/>
  <c r="D64" i="148"/>
  <c r="U22" i="148"/>
  <c r="T22" i="148"/>
  <c r="S22" i="148"/>
  <c r="R22" i="148"/>
  <c r="Q22" i="148"/>
  <c r="P22" i="148"/>
  <c r="O22" i="148"/>
  <c r="N22" i="148"/>
  <c r="M22" i="148"/>
  <c r="L22" i="148"/>
  <c r="K22" i="148"/>
  <c r="J22" i="148"/>
  <c r="I22" i="148"/>
  <c r="H22" i="148"/>
  <c r="G22" i="148"/>
  <c r="F22" i="148"/>
  <c r="E22" i="148"/>
  <c r="D22" i="148"/>
  <c r="U21" i="148"/>
  <c r="T21" i="148"/>
  <c r="S21" i="148"/>
  <c r="R21" i="148"/>
  <c r="Q21" i="148"/>
  <c r="P21" i="148"/>
  <c r="O21" i="148"/>
  <c r="N21" i="148"/>
  <c r="M21" i="148"/>
  <c r="L21" i="148"/>
  <c r="K21" i="148"/>
  <c r="J21" i="148"/>
  <c r="I21" i="148"/>
  <c r="H21" i="148"/>
  <c r="G21" i="148"/>
  <c r="F21" i="148"/>
  <c r="E21" i="148"/>
  <c r="D21" i="148"/>
  <c r="U20" i="148"/>
  <c r="T20" i="148"/>
  <c r="S20" i="148"/>
  <c r="R20" i="148"/>
  <c r="Q20" i="148"/>
  <c r="P20" i="148"/>
  <c r="O20" i="148"/>
  <c r="N20" i="148"/>
  <c r="M20" i="148"/>
  <c r="L20" i="148"/>
  <c r="K20" i="148"/>
  <c r="J20" i="148"/>
  <c r="I20" i="148"/>
  <c r="H20" i="148"/>
  <c r="G20" i="148"/>
  <c r="F20" i="148"/>
  <c r="E20" i="148"/>
  <c r="D20" i="148"/>
  <c r="U19" i="148"/>
  <c r="T19" i="148"/>
  <c r="S19" i="148"/>
  <c r="R19" i="148"/>
  <c r="Q19" i="148"/>
  <c r="P19" i="148"/>
  <c r="O19" i="148"/>
  <c r="N19" i="148"/>
  <c r="M19" i="148"/>
  <c r="L19" i="148"/>
  <c r="K19" i="148"/>
  <c r="J19" i="148"/>
  <c r="I19" i="148"/>
  <c r="H19" i="148"/>
  <c r="G19" i="148"/>
  <c r="F19" i="148"/>
  <c r="E19" i="148"/>
  <c r="D19" i="148"/>
  <c r="U18" i="148"/>
  <c r="T18" i="148"/>
  <c r="S18" i="148"/>
  <c r="R18" i="148"/>
  <c r="Q18" i="148"/>
  <c r="P18" i="148"/>
  <c r="O18" i="148"/>
  <c r="N18" i="148"/>
  <c r="M18" i="148"/>
  <c r="L18" i="148"/>
  <c r="K18" i="148"/>
  <c r="J18" i="148"/>
  <c r="I18" i="148"/>
  <c r="H18" i="148"/>
  <c r="G18" i="148"/>
  <c r="F18" i="148"/>
  <c r="E18" i="148"/>
  <c r="D18" i="148"/>
  <c r="U17" i="148"/>
  <c r="T17" i="148"/>
  <c r="S17" i="148"/>
  <c r="R17" i="148"/>
  <c r="Q17" i="148"/>
  <c r="P17" i="148"/>
  <c r="O17" i="148"/>
  <c r="N17" i="148"/>
  <c r="M17" i="148"/>
  <c r="L17" i="148"/>
  <c r="K17" i="148"/>
  <c r="J17" i="148"/>
  <c r="I17" i="148"/>
  <c r="H17" i="148"/>
  <c r="G17" i="148"/>
  <c r="F17" i="148"/>
  <c r="E17" i="148"/>
  <c r="D17" i="148"/>
  <c r="U13" i="148"/>
  <c r="T13" i="148"/>
  <c r="S13" i="148"/>
  <c r="R13" i="148"/>
  <c r="Q13" i="148"/>
  <c r="P13" i="148"/>
  <c r="O13" i="148"/>
  <c r="N13" i="148"/>
  <c r="M13" i="148"/>
  <c r="L13" i="148"/>
  <c r="K13" i="148"/>
  <c r="J13" i="148"/>
  <c r="I13" i="148"/>
  <c r="H13" i="148"/>
  <c r="G13" i="148"/>
  <c r="F13" i="148"/>
  <c r="E13" i="148"/>
  <c r="D13" i="148"/>
  <c r="U12" i="148"/>
  <c r="T12" i="148"/>
  <c r="S12" i="148"/>
  <c r="R12" i="148"/>
  <c r="Q12" i="148"/>
  <c r="P12" i="148"/>
  <c r="O12" i="148"/>
  <c r="N12" i="148"/>
  <c r="M12" i="148"/>
  <c r="L12" i="148"/>
  <c r="K12" i="148"/>
  <c r="J12" i="148"/>
  <c r="I12" i="148"/>
  <c r="I37" i="148" s="1"/>
  <c r="H12" i="148"/>
  <c r="G12" i="148"/>
  <c r="F12" i="148"/>
  <c r="E12" i="148"/>
  <c r="D12" i="148"/>
  <c r="U11" i="148"/>
  <c r="T11" i="148"/>
  <c r="S11" i="148"/>
  <c r="R11" i="148"/>
  <c r="Q11" i="148"/>
  <c r="P11" i="148"/>
  <c r="O11" i="148"/>
  <c r="N11" i="148"/>
  <c r="M11" i="148"/>
  <c r="L11" i="148"/>
  <c r="K11" i="148"/>
  <c r="J11" i="148"/>
  <c r="I11" i="148"/>
  <c r="H11" i="148"/>
  <c r="G11" i="148"/>
  <c r="F11" i="148"/>
  <c r="E11" i="148"/>
  <c r="D11" i="148"/>
  <c r="U10" i="148"/>
  <c r="T10" i="148"/>
  <c r="S10" i="148"/>
  <c r="R10" i="148"/>
  <c r="Q10" i="148"/>
  <c r="P10" i="148"/>
  <c r="O10" i="148"/>
  <c r="N10" i="148"/>
  <c r="M10" i="148"/>
  <c r="L10" i="148"/>
  <c r="K10" i="148"/>
  <c r="J10" i="148"/>
  <c r="I10" i="148"/>
  <c r="H10" i="148"/>
  <c r="G10" i="148"/>
  <c r="F10" i="148"/>
  <c r="E10" i="148"/>
  <c r="D10" i="148"/>
  <c r="C22" i="148"/>
  <c r="C47" i="148"/>
  <c r="C21" i="148"/>
  <c r="C46" i="148"/>
  <c r="C20" i="148"/>
  <c r="C45" i="148"/>
  <c r="C19" i="148"/>
  <c r="C44" i="148"/>
  <c r="C18" i="148"/>
  <c r="C43" i="148"/>
  <c r="C17" i="148"/>
  <c r="C13" i="148"/>
  <c r="C38" i="148"/>
  <c r="C12" i="148"/>
  <c r="C37" i="148"/>
  <c r="C11" i="148"/>
  <c r="C36" i="148"/>
  <c r="C10" i="148"/>
  <c r="C35" i="148"/>
  <c r="E21" i="56"/>
  <c r="E15" i="4"/>
  <c r="E18" i="4" s="1"/>
  <c r="E29" i="6"/>
  <c r="E59" i="6"/>
  <c r="D59" i="6"/>
  <c r="E56" i="6"/>
  <c r="E25" i="5"/>
  <c r="E92" i="129" s="1"/>
  <c r="E22" i="5"/>
  <c r="E12" i="5"/>
  <c r="E14" i="12"/>
  <c r="E41" i="12"/>
  <c r="E34" i="24"/>
  <c r="E35" i="24" s="1"/>
  <c r="E13" i="24"/>
  <c r="E26" i="93"/>
  <c r="E20" i="93"/>
  <c r="E20" i="54"/>
  <c r="E99" i="66" s="1"/>
  <c r="E18" i="53"/>
  <c r="E20" i="53" s="1"/>
  <c r="E98" i="66" s="1"/>
  <c r="E15" i="52"/>
  <c r="E57" i="51"/>
  <c r="E52" i="51"/>
  <c r="E29" i="51"/>
  <c r="E12" i="135"/>
  <c r="E15" i="135" s="1"/>
  <c r="E25" i="49"/>
  <c r="E13" i="49"/>
  <c r="E40" i="11"/>
  <c r="E37" i="11"/>
  <c r="E15" i="11"/>
  <c r="E12" i="10"/>
  <c r="E15" i="10" s="1"/>
  <c r="E24" i="9"/>
  <c r="E26" i="9" s="1"/>
  <c r="E11" i="9"/>
  <c r="E22" i="8"/>
  <c r="E36" i="8"/>
  <c r="E15" i="7"/>
  <c r="E12" i="7"/>
  <c r="E24" i="22"/>
  <c r="E13" i="22"/>
  <c r="E18" i="18"/>
  <c r="E20" i="18" s="1"/>
  <c r="E12" i="18"/>
  <c r="M19" i="15"/>
  <c r="L19" i="15"/>
  <c r="K19" i="15"/>
  <c r="I19" i="15"/>
  <c r="D19" i="15"/>
  <c r="C19" i="15"/>
  <c r="E19" i="15"/>
  <c r="E53" i="15"/>
  <c r="E52" i="15"/>
  <c r="E51" i="15"/>
  <c r="E50" i="15"/>
  <c r="E49" i="15"/>
  <c r="E47" i="15"/>
  <c r="E46" i="15"/>
  <c r="E45" i="15"/>
  <c r="E44" i="15"/>
  <c r="E43" i="15"/>
  <c r="E42" i="15"/>
  <c r="E41" i="15"/>
  <c r="E40" i="15"/>
  <c r="E39" i="15"/>
  <c r="E38" i="15"/>
  <c r="E37" i="15"/>
  <c r="E36" i="15"/>
  <c r="E35" i="15"/>
  <c r="E34" i="15"/>
  <c r="E33" i="15"/>
  <c r="E32" i="15"/>
  <c r="E31" i="15"/>
  <c r="E29" i="15"/>
  <c r="E28" i="15"/>
  <c r="E27" i="15"/>
  <c r="E26" i="15"/>
  <c r="E25" i="15"/>
  <c r="E24" i="15"/>
  <c r="E23" i="15"/>
  <c r="E22" i="15"/>
  <c r="E21" i="15"/>
  <c r="E20" i="15"/>
  <c r="E16" i="15"/>
  <c r="E15" i="15"/>
  <c r="E14" i="15"/>
  <c r="E13" i="15"/>
  <c r="E12" i="15"/>
  <c r="E11" i="15"/>
  <c r="E10" i="15"/>
  <c r="E9" i="15"/>
  <c r="E17" i="23"/>
  <c r="E13" i="23"/>
  <c r="E49" i="17"/>
  <c r="E16" i="17"/>
  <c r="E12" i="56"/>
  <c r="E14" i="13"/>
  <c r="E118" i="66" s="1"/>
  <c r="E11" i="13"/>
  <c r="E117" i="66" s="1"/>
  <c r="E10" i="86"/>
  <c r="E19" i="86" s="1"/>
  <c r="E10" i="48"/>
  <c r="E12" i="48" s="1"/>
  <c r="E60" i="66" s="1"/>
  <c r="E16" i="47"/>
  <c r="E14" i="46"/>
  <c r="E10" i="46"/>
  <c r="E32" i="44"/>
  <c r="E19" i="44"/>
  <c r="E24" i="60"/>
  <c r="E19" i="60"/>
  <c r="E56" i="43"/>
  <c r="E53" i="66" s="1"/>
  <c r="E53" i="43"/>
  <c r="E28" i="43"/>
  <c r="E39" i="87"/>
  <c r="E41" i="87" s="1"/>
  <c r="E19" i="129"/>
  <c r="E15" i="41"/>
  <c r="E18" i="41" s="1"/>
  <c r="E45" i="66" s="1"/>
  <c r="E28" i="40"/>
  <c r="E12" i="40"/>
  <c r="E12" i="36"/>
  <c r="E15" i="36" s="1"/>
  <c r="E40" i="66" s="1"/>
  <c r="E31" i="35"/>
  <c r="E16" i="35"/>
  <c r="E16" i="34"/>
  <c r="E39" i="34"/>
  <c r="E38" i="66" s="1"/>
  <c r="E36" i="34"/>
  <c r="E24" i="33"/>
  <c r="E11" i="33"/>
  <c r="E11" i="32"/>
  <c r="E14" i="32" s="1"/>
  <c r="E15" i="31"/>
  <c r="E18" i="31" s="1"/>
  <c r="E34" i="66" s="1"/>
  <c r="E34" i="30"/>
  <c r="E19" i="30"/>
  <c r="E21" i="29"/>
  <c r="E10" i="29"/>
  <c r="K21" i="56"/>
  <c r="I26" i="93"/>
  <c r="I56" i="6"/>
  <c r="K159" i="141"/>
  <c r="J159" i="141"/>
  <c r="I159" i="141"/>
  <c r="H159" i="141"/>
  <c r="G159" i="141"/>
  <c r="F159" i="141"/>
  <c r="E159" i="141"/>
  <c r="D159" i="141"/>
  <c r="C159" i="141"/>
  <c r="B159" i="141"/>
  <c r="K39" i="34"/>
  <c r="I39" i="34"/>
  <c r="I38" i="66" s="1"/>
  <c r="D39" i="34"/>
  <c r="D38" i="66" s="1"/>
  <c r="C39" i="34"/>
  <c r="C38" i="66" s="1"/>
  <c r="L39" i="34"/>
  <c r="K38" i="66" s="1"/>
  <c r="R103" i="66"/>
  <c r="R119" i="66"/>
  <c r="R176" i="66"/>
  <c r="D11" i="5"/>
  <c r="D10" i="5"/>
  <c r="D9" i="5"/>
  <c r="D11" i="22"/>
  <c r="D10" i="18"/>
  <c r="D12" i="18" s="1"/>
  <c r="D10" i="23"/>
  <c r="D9" i="23"/>
  <c r="D11" i="17"/>
  <c r="D12" i="15" s="1"/>
  <c r="D10" i="17"/>
  <c r="D9" i="17"/>
  <c r="D10" i="56"/>
  <c r="D9" i="56"/>
  <c r="D10" i="43"/>
  <c r="K24" i="60"/>
  <c r="I24" i="60"/>
  <c r="D24" i="60"/>
  <c r="C24" i="60"/>
  <c r="I15" i="41"/>
  <c r="I18" i="41" s="1"/>
  <c r="D100" i="143"/>
  <c r="D101" i="143" s="1"/>
  <c r="C9" i="143"/>
  <c r="C18" i="143"/>
  <c r="C45" i="143"/>
  <c r="N206" i="66"/>
  <c r="F73" i="26"/>
  <c r="F49" i="26"/>
  <c r="I11" i="33"/>
  <c r="I53" i="15"/>
  <c r="I52" i="15"/>
  <c r="I51" i="15"/>
  <c r="I50" i="15"/>
  <c r="I49" i="15"/>
  <c r="I47" i="15"/>
  <c r="I46" i="15"/>
  <c r="I45" i="15"/>
  <c r="I44" i="15"/>
  <c r="I43" i="15"/>
  <c r="I42" i="15"/>
  <c r="I41" i="15"/>
  <c r="I40" i="15"/>
  <c r="I39" i="15"/>
  <c r="I38" i="15"/>
  <c r="I37" i="15"/>
  <c r="I36" i="15"/>
  <c r="I35" i="15"/>
  <c r="I34" i="15"/>
  <c r="I33" i="15"/>
  <c r="I32" i="15"/>
  <c r="I31" i="15"/>
  <c r="I29" i="15"/>
  <c r="I28" i="15"/>
  <c r="I27" i="15"/>
  <c r="I26" i="15"/>
  <c r="I25" i="15"/>
  <c r="I24" i="15"/>
  <c r="I23" i="15"/>
  <c r="I22" i="15"/>
  <c r="I21" i="15"/>
  <c r="I20" i="15"/>
  <c r="I16" i="15"/>
  <c r="I15" i="15"/>
  <c r="I14" i="15"/>
  <c r="I13" i="15"/>
  <c r="I12" i="15"/>
  <c r="I11" i="15"/>
  <c r="I10" i="15"/>
  <c r="I9" i="15"/>
  <c r="D13" i="15"/>
  <c r="D14" i="15"/>
  <c r="D15" i="15"/>
  <c r="D16" i="15"/>
  <c r="D11" i="43"/>
  <c r="I15" i="4"/>
  <c r="I18" i="4" s="1"/>
  <c r="I59" i="6"/>
  <c r="I12" i="6"/>
  <c r="I29" i="6" s="1"/>
  <c r="I41" i="12"/>
  <c r="I14" i="12"/>
  <c r="I35" i="24"/>
  <c r="I13" i="24"/>
  <c r="I20" i="54"/>
  <c r="I99" i="66" s="1"/>
  <c r="I15" i="52"/>
  <c r="I57" i="51"/>
  <c r="I52" i="51"/>
  <c r="I29" i="51"/>
  <c r="I11" i="50"/>
  <c r="I14" i="50" s="1"/>
  <c r="I12" i="135"/>
  <c r="I15" i="135" s="1"/>
  <c r="I13" i="49"/>
  <c r="I25" i="49"/>
  <c r="K56" i="11"/>
  <c r="D99" i="137" s="1"/>
  <c r="I15" i="11"/>
  <c r="I40" i="11"/>
  <c r="I37" i="11"/>
  <c r="I24" i="9"/>
  <c r="I36" i="8"/>
  <c r="I15" i="7"/>
  <c r="I24" i="22"/>
  <c r="I13" i="22"/>
  <c r="I18" i="18"/>
  <c r="I17" i="23"/>
  <c r="I13" i="23"/>
  <c r="I54" i="17"/>
  <c r="I12" i="56"/>
  <c r="I23" i="56" s="1"/>
  <c r="I14" i="13"/>
  <c r="I118" i="66" s="1"/>
  <c r="I11" i="13"/>
  <c r="I117" i="66" s="1"/>
  <c r="I17" i="86"/>
  <c r="I10" i="48"/>
  <c r="I12" i="48" s="1"/>
  <c r="I14" i="46"/>
  <c r="I10" i="46"/>
  <c r="I10" i="45"/>
  <c r="I32" i="44"/>
  <c r="K41" i="60"/>
  <c r="I19" i="60"/>
  <c r="I56" i="43"/>
  <c r="I28" i="43"/>
  <c r="I12" i="40"/>
  <c r="I28" i="40"/>
  <c r="I34" i="38"/>
  <c r="I12" i="36"/>
  <c r="I31" i="35"/>
  <c r="I36" i="34"/>
  <c r="I16" i="34"/>
  <c r="I24" i="33"/>
  <c r="I11" i="32"/>
  <c r="I14" i="32" s="1"/>
  <c r="I15" i="31"/>
  <c r="I18" i="31" s="1"/>
  <c r="I34" i="30"/>
  <c r="I19" i="30"/>
  <c r="N62" i="11"/>
  <c r="L12" i="11" s="1"/>
  <c r="I71" i="11" s="1"/>
  <c r="K139" i="141"/>
  <c r="K120" i="141"/>
  <c r="K100" i="141"/>
  <c r="J139" i="141"/>
  <c r="J120" i="141"/>
  <c r="J100" i="141"/>
  <c r="I139" i="141"/>
  <c r="I120" i="141"/>
  <c r="I100" i="141"/>
  <c r="H139" i="141"/>
  <c r="H120" i="141"/>
  <c r="H100" i="141"/>
  <c r="G139" i="141"/>
  <c r="G120" i="141"/>
  <c r="G100" i="141"/>
  <c r="F139" i="141"/>
  <c r="F120" i="141"/>
  <c r="F100" i="141"/>
  <c r="E139" i="141"/>
  <c r="E120" i="141"/>
  <c r="E100" i="141"/>
  <c r="D139" i="141"/>
  <c r="D120" i="141"/>
  <c r="D100" i="141"/>
  <c r="C139" i="141"/>
  <c r="C120" i="141"/>
  <c r="C100" i="141"/>
  <c r="K138" i="141"/>
  <c r="K119" i="141"/>
  <c r="K99" i="141"/>
  <c r="J138" i="141"/>
  <c r="J119" i="141"/>
  <c r="J99" i="141"/>
  <c r="I138" i="141"/>
  <c r="I119" i="141"/>
  <c r="I99" i="141"/>
  <c r="H138" i="141"/>
  <c r="H119" i="141"/>
  <c r="H99" i="141"/>
  <c r="G138" i="141"/>
  <c r="G119" i="141"/>
  <c r="G99" i="141"/>
  <c r="F138" i="141"/>
  <c r="F119" i="141"/>
  <c r="F99" i="141"/>
  <c r="E138" i="141"/>
  <c r="E119" i="141"/>
  <c r="E99" i="141"/>
  <c r="D138" i="141"/>
  <c r="D119" i="141"/>
  <c r="D99" i="141"/>
  <c r="C138" i="141"/>
  <c r="C119" i="141"/>
  <c r="C99" i="141"/>
  <c r="K137" i="141"/>
  <c r="K118" i="141"/>
  <c r="J137" i="141"/>
  <c r="J118" i="141"/>
  <c r="J98" i="141"/>
  <c r="I137" i="141"/>
  <c r="I118" i="141"/>
  <c r="H137" i="141"/>
  <c r="H118" i="141"/>
  <c r="H98" i="141"/>
  <c r="G137" i="141"/>
  <c r="G118" i="141"/>
  <c r="G98" i="141"/>
  <c r="F137" i="141"/>
  <c r="F118" i="141"/>
  <c r="F98" i="141"/>
  <c r="E137" i="141"/>
  <c r="E118" i="141"/>
  <c r="E98" i="141"/>
  <c r="D137" i="141"/>
  <c r="D118" i="141"/>
  <c r="D98" i="141"/>
  <c r="C137" i="141"/>
  <c r="C118" i="141"/>
  <c r="C98" i="141"/>
  <c r="K136" i="141"/>
  <c r="K117" i="141"/>
  <c r="J136" i="141"/>
  <c r="J117" i="141"/>
  <c r="I136" i="141"/>
  <c r="I117" i="141"/>
  <c r="H136" i="141"/>
  <c r="H117" i="141"/>
  <c r="G136" i="141"/>
  <c r="G117" i="141"/>
  <c r="F136" i="141"/>
  <c r="F117" i="141"/>
  <c r="E136" i="141"/>
  <c r="E117" i="141"/>
  <c r="D136" i="141"/>
  <c r="D117" i="141"/>
  <c r="D97" i="141"/>
  <c r="C136" i="141"/>
  <c r="C117" i="141"/>
  <c r="C97" i="141"/>
  <c r="B136" i="141"/>
  <c r="B117" i="141"/>
  <c r="B97" i="141"/>
  <c r="B137" i="141"/>
  <c r="B118" i="141"/>
  <c r="B138" i="141"/>
  <c r="B119" i="141"/>
  <c r="B99" i="141"/>
  <c r="B139" i="141"/>
  <c r="B120" i="141"/>
  <c r="B100" i="141"/>
  <c r="N50" i="34"/>
  <c r="M203" i="66"/>
  <c r="M34" i="15"/>
  <c r="M11" i="15"/>
  <c r="M12" i="15"/>
  <c r="K135" i="141"/>
  <c r="K116" i="141"/>
  <c r="J135" i="141"/>
  <c r="J143" i="141"/>
  <c r="I135" i="141"/>
  <c r="I144" i="141"/>
  <c r="H135" i="141"/>
  <c r="H144" i="141"/>
  <c r="G135" i="141"/>
  <c r="G116" i="141"/>
  <c r="G144" i="141"/>
  <c r="F135" i="141"/>
  <c r="F144" i="141"/>
  <c r="E135" i="141"/>
  <c r="E116" i="141"/>
  <c r="E96" i="141"/>
  <c r="E144" i="141"/>
  <c r="D135" i="141"/>
  <c r="D144" i="141"/>
  <c r="C135" i="141"/>
  <c r="C144" i="141"/>
  <c r="K134" i="141"/>
  <c r="K115" i="141"/>
  <c r="J134" i="141"/>
  <c r="I134" i="141"/>
  <c r="I115" i="141"/>
  <c r="I95" i="141"/>
  <c r="H134" i="141"/>
  <c r="H115" i="141"/>
  <c r="H95" i="141"/>
  <c r="G134" i="141"/>
  <c r="G115" i="141"/>
  <c r="G95" i="141"/>
  <c r="F134" i="141"/>
  <c r="F115" i="141"/>
  <c r="E134" i="141"/>
  <c r="E115" i="141"/>
  <c r="E95" i="141"/>
  <c r="D134" i="141"/>
  <c r="D115" i="141"/>
  <c r="D95" i="141"/>
  <c r="C134" i="141"/>
  <c r="C115" i="141"/>
  <c r="C95" i="141"/>
  <c r="K133" i="141"/>
  <c r="K114" i="141"/>
  <c r="K94" i="141"/>
  <c r="J133" i="141"/>
  <c r="J114" i="141"/>
  <c r="J94" i="141"/>
  <c r="I133" i="141"/>
  <c r="I114" i="141"/>
  <c r="I94" i="141"/>
  <c r="H133" i="141"/>
  <c r="H114" i="141"/>
  <c r="H94" i="141"/>
  <c r="G133" i="141"/>
  <c r="G114" i="141"/>
  <c r="G94" i="141"/>
  <c r="F133" i="141"/>
  <c r="F114" i="141"/>
  <c r="F94" i="141"/>
  <c r="E133" i="141"/>
  <c r="E114" i="141"/>
  <c r="E94" i="141"/>
  <c r="D133" i="141"/>
  <c r="D114" i="141"/>
  <c r="D94" i="141"/>
  <c r="C133" i="141"/>
  <c r="C114" i="141"/>
  <c r="C94" i="141"/>
  <c r="K132" i="141"/>
  <c r="K113" i="141"/>
  <c r="K93" i="141"/>
  <c r="J132" i="141"/>
  <c r="J113" i="141"/>
  <c r="J93" i="141"/>
  <c r="I132" i="141"/>
  <c r="I113" i="141"/>
  <c r="I93" i="141"/>
  <c r="H132" i="141"/>
  <c r="H113" i="141"/>
  <c r="G132" i="141"/>
  <c r="G113" i="141"/>
  <c r="G93" i="141"/>
  <c r="F132" i="141"/>
  <c r="F113" i="141"/>
  <c r="F93" i="141"/>
  <c r="E132" i="141"/>
  <c r="E113" i="141"/>
  <c r="E93" i="141"/>
  <c r="D132" i="141"/>
  <c r="D113" i="141"/>
  <c r="D93" i="141"/>
  <c r="C132" i="141"/>
  <c r="C113" i="141"/>
  <c r="C93" i="141"/>
  <c r="K131" i="141"/>
  <c r="K112" i="141"/>
  <c r="K92" i="141"/>
  <c r="J131" i="141"/>
  <c r="J112" i="141"/>
  <c r="J92" i="141"/>
  <c r="I131" i="141"/>
  <c r="I112" i="141"/>
  <c r="I92" i="141"/>
  <c r="H131" i="141"/>
  <c r="H112" i="141"/>
  <c r="H92" i="141"/>
  <c r="G131" i="141"/>
  <c r="G112" i="141"/>
  <c r="G92" i="141"/>
  <c r="F131" i="141"/>
  <c r="F112" i="141"/>
  <c r="F92" i="141"/>
  <c r="K38" i="60"/>
  <c r="D57" i="137" s="1"/>
  <c r="E131" i="141"/>
  <c r="E112" i="141"/>
  <c r="E92" i="141"/>
  <c r="D131" i="141"/>
  <c r="D112" i="141"/>
  <c r="D92" i="141"/>
  <c r="C131" i="141"/>
  <c r="C112" i="141"/>
  <c r="K130" i="141"/>
  <c r="K111" i="141"/>
  <c r="J130" i="141"/>
  <c r="J111" i="141"/>
  <c r="J91" i="141"/>
  <c r="I130" i="141"/>
  <c r="I111" i="141"/>
  <c r="I91" i="141"/>
  <c r="H130" i="141"/>
  <c r="H111" i="141"/>
  <c r="H91" i="141"/>
  <c r="G130" i="141"/>
  <c r="G111" i="141"/>
  <c r="G91" i="141"/>
  <c r="F130" i="141"/>
  <c r="F111" i="141"/>
  <c r="F91" i="141"/>
  <c r="E130" i="141"/>
  <c r="E111" i="141"/>
  <c r="D130" i="141"/>
  <c r="D111" i="141"/>
  <c r="D91" i="141"/>
  <c r="C130" i="141"/>
  <c r="C111" i="141"/>
  <c r="C91" i="141"/>
  <c r="B135" i="141"/>
  <c r="B144" i="141"/>
  <c r="B134" i="141"/>
  <c r="B115" i="141"/>
  <c r="B95" i="141"/>
  <c r="B133" i="141"/>
  <c r="B114" i="141"/>
  <c r="B94" i="141"/>
  <c r="B132" i="141"/>
  <c r="B113" i="141"/>
  <c r="B93" i="141"/>
  <c r="B131" i="141"/>
  <c r="B112" i="141"/>
  <c r="B92" i="141"/>
  <c r="B130" i="141"/>
  <c r="B111" i="141"/>
  <c r="B91" i="141"/>
  <c r="T198" i="66"/>
  <c r="T206" i="66" s="1"/>
  <c r="M176" i="66"/>
  <c r="L20" i="54"/>
  <c r="K20" i="54"/>
  <c r="K22" i="54" s="1"/>
  <c r="D20" i="54"/>
  <c r="C20" i="54"/>
  <c r="K53" i="43"/>
  <c r="C22" i="38"/>
  <c r="C34" i="38" s="1"/>
  <c r="C43" i="43"/>
  <c r="C53" i="43" s="1"/>
  <c r="E29" i="2"/>
  <c r="D9" i="8"/>
  <c r="D22" i="8" s="1"/>
  <c r="D8" i="43"/>
  <c r="D9" i="33"/>
  <c r="D11" i="33" s="1"/>
  <c r="I143" i="141"/>
  <c r="G143" i="141"/>
  <c r="C143" i="141"/>
  <c r="H82" i="138"/>
  <c r="G82" i="138"/>
  <c r="F82" i="138"/>
  <c r="H81" i="138"/>
  <c r="G81" i="138"/>
  <c r="F81" i="138"/>
  <c r="H79" i="138"/>
  <c r="G79" i="138"/>
  <c r="F79" i="138"/>
  <c r="E79" i="138"/>
  <c r="D79" i="138"/>
  <c r="C79" i="138"/>
  <c r="C99" i="138"/>
  <c r="H78" i="138"/>
  <c r="G78" i="138"/>
  <c r="F78" i="138"/>
  <c r="F67" i="138"/>
  <c r="E78" i="138"/>
  <c r="D78" i="138"/>
  <c r="C78" i="138"/>
  <c r="C98" i="138"/>
  <c r="E82" i="138"/>
  <c r="E81" i="138"/>
  <c r="B79" i="138"/>
  <c r="B78" i="138"/>
  <c r="C12" i="15"/>
  <c r="C10" i="17"/>
  <c r="C11" i="43"/>
  <c r="C28" i="43" s="1"/>
  <c r="C19" i="30"/>
  <c r="D10" i="29"/>
  <c r="K11" i="33"/>
  <c r="C11" i="33"/>
  <c r="D10" i="86"/>
  <c r="D25" i="93"/>
  <c r="D26" i="93" s="1"/>
  <c r="D20" i="93"/>
  <c r="D22" i="5"/>
  <c r="D12" i="6"/>
  <c r="D29" i="6" s="1"/>
  <c r="D32" i="6"/>
  <c r="D33" i="6"/>
  <c r="D36" i="6"/>
  <c r="I5" i="2"/>
  <c r="I16" i="2"/>
  <c r="C15" i="4"/>
  <c r="C18" i="4" s="1"/>
  <c r="D15" i="4"/>
  <c r="D18" i="4" s="1"/>
  <c r="K15" i="4"/>
  <c r="K18" i="4" s="1"/>
  <c r="C29" i="6"/>
  <c r="K29" i="6"/>
  <c r="C56" i="6"/>
  <c r="K56" i="6"/>
  <c r="C59" i="6"/>
  <c r="K59" i="6"/>
  <c r="C12" i="5"/>
  <c r="K12" i="5"/>
  <c r="C22" i="5"/>
  <c r="K22" i="5"/>
  <c r="C25" i="5"/>
  <c r="C92" i="129" s="1"/>
  <c r="D25" i="5"/>
  <c r="D92" i="129" s="1"/>
  <c r="K25" i="5"/>
  <c r="C14" i="12"/>
  <c r="D14" i="12"/>
  <c r="K14" i="12"/>
  <c r="C41" i="12"/>
  <c r="D41" i="12"/>
  <c r="K41" i="12"/>
  <c r="C13" i="24"/>
  <c r="D13" i="24"/>
  <c r="K13" i="24"/>
  <c r="C35" i="24"/>
  <c r="D35" i="24"/>
  <c r="K35" i="24"/>
  <c r="C20" i="93"/>
  <c r="K20" i="93"/>
  <c r="C26" i="93"/>
  <c r="K26" i="93"/>
  <c r="C18" i="53"/>
  <c r="C20" i="53" s="1"/>
  <c r="D18" i="53"/>
  <c r="D20" i="53" s="1"/>
  <c r="K18" i="53"/>
  <c r="K20" i="53" s="1"/>
  <c r="C15" i="52"/>
  <c r="C95" i="66" s="1"/>
  <c r="D15" i="52"/>
  <c r="K15" i="52"/>
  <c r="C29" i="51"/>
  <c r="D29" i="51"/>
  <c r="K29" i="51"/>
  <c r="C52" i="51"/>
  <c r="D52" i="51"/>
  <c r="K52" i="51"/>
  <c r="C57" i="51"/>
  <c r="D57" i="51"/>
  <c r="K57" i="51"/>
  <c r="C11" i="50"/>
  <c r="C14" i="50" s="1"/>
  <c r="D11" i="50"/>
  <c r="D14" i="50" s="1"/>
  <c r="K11" i="50"/>
  <c r="K14" i="50" s="1"/>
  <c r="L11" i="50"/>
  <c r="C12" i="135"/>
  <c r="C15" i="135" s="1"/>
  <c r="D12" i="135"/>
  <c r="D15" i="135" s="1"/>
  <c r="D86" i="66" s="1"/>
  <c r="K12" i="135"/>
  <c r="L12" i="135"/>
  <c r="L15" i="135" s="1"/>
  <c r="I54" i="129" s="1"/>
  <c r="C13" i="49"/>
  <c r="D13" i="49"/>
  <c r="K13" i="49"/>
  <c r="C25" i="49"/>
  <c r="D25" i="49"/>
  <c r="K25" i="49"/>
  <c r="C15" i="11"/>
  <c r="D15" i="11"/>
  <c r="C37" i="11"/>
  <c r="D37" i="11"/>
  <c r="K37" i="11"/>
  <c r="C40" i="11"/>
  <c r="D40" i="11"/>
  <c r="K40" i="11"/>
  <c r="L40" i="11"/>
  <c r="C12" i="10"/>
  <c r="C15" i="10" s="1"/>
  <c r="C79" i="66" s="1"/>
  <c r="D12" i="10"/>
  <c r="D15" i="10" s="1"/>
  <c r="K12" i="10"/>
  <c r="K15" i="10" s="1"/>
  <c r="L12" i="10"/>
  <c r="C11" i="9"/>
  <c r="D11" i="9"/>
  <c r="C24" i="9"/>
  <c r="D24" i="9"/>
  <c r="K24" i="9"/>
  <c r="C22" i="8"/>
  <c r="C36" i="8"/>
  <c r="D36" i="8"/>
  <c r="K36" i="8"/>
  <c r="C12" i="7"/>
  <c r="D12" i="7"/>
  <c r="K12" i="7"/>
  <c r="C15" i="7"/>
  <c r="D15" i="7"/>
  <c r="K15" i="7"/>
  <c r="L15" i="7"/>
  <c r="C13" i="22"/>
  <c r="D13" i="22"/>
  <c r="K13" i="22"/>
  <c r="C24" i="22"/>
  <c r="D24" i="22"/>
  <c r="K24" i="22"/>
  <c r="C12" i="18"/>
  <c r="K12" i="18"/>
  <c r="C18" i="18"/>
  <c r="D18" i="18"/>
  <c r="K18" i="18"/>
  <c r="C13" i="23"/>
  <c r="K13" i="23"/>
  <c r="C17" i="23"/>
  <c r="D17" i="23"/>
  <c r="K17" i="23"/>
  <c r="L17" i="23"/>
  <c r="K16" i="17"/>
  <c r="C49" i="17"/>
  <c r="D49" i="17"/>
  <c r="K49" i="17"/>
  <c r="C12" i="56"/>
  <c r="D12" i="56"/>
  <c r="K12" i="56"/>
  <c r="K23" i="56" s="1"/>
  <c r="C21" i="56"/>
  <c r="D21" i="56"/>
  <c r="C9" i="15"/>
  <c r="K9" i="15"/>
  <c r="C10" i="15"/>
  <c r="K10" i="15"/>
  <c r="L10" i="15"/>
  <c r="M10" i="15"/>
  <c r="K11" i="15"/>
  <c r="L11" i="15"/>
  <c r="K12" i="15"/>
  <c r="L12" i="15"/>
  <c r="C13" i="15"/>
  <c r="C14" i="15"/>
  <c r="C16" i="15"/>
  <c r="K13" i="15"/>
  <c r="K14" i="15"/>
  <c r="L14" i="15"/>
  <c r="M14" i="15"/>
  <c r="K15" i="15"/>
  <c r="L15" i="15"/>
  <c r="M15" i="15"/>
  <c r="K16" i="15"/>
  <c r="L16" i="15"/>
  <c r="M16" i="15"/>
  <c r="C20" i="15"/>
  <c r="D20" i="15"/>
  <c r="D21" i="15"/>
  <c r="D22" i="15"/>
  <c r="D23" i="15"/>
  <c r="D24" i="15"/>
  <c r="D25" i="15"/>
  <c r="D26" i="15"/>
  <c r="D27" i="15"/>
  <c r="D28" i="15"/>
  <c r="D29" i="15"/>
  <c r="D31" i="15"/>
  <c r="D32" i="15"/>
  <c r="D33" i="15"/>
  <c r="D34" i="15"/>
  <c r="D35" i="15"/>
  <c r="D36" i="15"/>
  <c r="D37" i="15"/>
  <c r="D38" i="15"/>
  <c r="D39" i="15"/>
  <c r="D40" i="15"/>
  <c r="D41" i="15"/>
  <c r="D42" i="15"/>
  <c r="D43" i="15"/>
  <c r="D44" i="15"/>
  <c r="D45" i="15"/>
  <c r="D46" i="15"/>
  <c r="D47" i="15"/>
  <c r="D49" i="15"/>
  <c r="D50" i="15"/>
  <c r="D51" i="15"/>
  <c r="D52" i="15"/>
  <c r="D53" i="15"/>
  <c r="K20" i="15"/>
  <c r="L20" i="15"/>
  <c r="M20" i="15"/>
  <c r="C21" i="15"/>
  <c r="K21" i="15"/>
  <c r="L21" i="15"/>
  <c r="M21" i="15"/>
  <c r="C22" i="15"/>
  <c r="K22" i="15"/>
  <c r="L22" i="15"/>
  <c r="M22" i="15"/>
  <c r="C23" i="15"/>
  <c r="K23" i="15"/>
  <c r="L23" i="15"/>
  <c r="M23" i="15"/>
  <c r="C24" i="15"/>
  <c r="K24" i="15"/>
  <c r="L24" i="15"/>
  <c r="M24" i="15"/>
  <c r="C25" i="15"/>
  <c r="K25" i="15"/>
  <c r="L25" i="15"/>
  <c r="M25" i="15"/>
  <c r="C26" i="15"/>
  <c r="K26" i="15"/>
  <c r="L26" i="15"/>
  <c r="M26" i="15"/>
  <c r="C27" i="15"/>
  <c r="K27" i="15"/>
  <c r="L27" i="15"/>
  <c r="M27" i="15"/>
  <c r="C28" i="15"/>
  <c r="K28" i="15"/>
  <c r="L28" i="15"/>
  <c r="M28" i="15"/>
  <c r="C29" i="15"/>
  <c r="K29" i="15"/>
  <c r="L29" i="15"/>
  <c r="M29" i="15"/>
  <c r="C31" i="15"/>
  <c r="K31" i="15"/>
  <c r="L31" i="15"/>
  <c r="M31" i="15"/>
  <c r="C32" i="15"/>
  <c r="K32" i="15"/>
  <c r="L32" i="15"/>
  <c r="M32" i="15"/>
  <c r="C33" i="15"/>
  <c r="K33" i="15"/>
  <c r="L33" i="15"/>
  <c r="M33" i="15"/>
  <c r="C34" i="15"/>
  <c r="K34" i="15"/>
  <c r="L34" i="15"/>
  <c r="C35" i="15"/>
  <c r="C36" i="15"/>
  <c r="C37" i="15"/>
  <c r="C38" i="15"/>
  <c r="C39" i="15"/>
  <c r="C40" i="15"/>
  <c r="C41" i="15"/>
  <c r="C42" i="15"/>
  <c r="C43" i="15"/>
  <c r="C44" i="15"/>
  <c r="C45" i="15"/>
  <c r="C46" i="15"/>
  <c r="C47" i="15"/>
  <c r="C49" i="15"/>
  <c r="C50" i="15"/>
  <c r="C51" i="15"/>
  <c r="C52" i="15"/>
  <c r="C53" i="15"/>
  <c r="K35" i="15"/>
  <c r="L35" i="15"/>
  <c r="M35" i="15"/>
  <c r="K36" i="15"/>
  <c r="L36" i="15"/>
  <c r="M36" i="15"/>
  <c r="K37" i="15"/>
  <c r="L37" i="15"/>
  <c r="M37" i="15"/>
  <c r="K38" i="15"/>
  <c r="L38" i="15"/>
  <c r="M38" i="15"/>
  <c r="K39" i="15"/>
  <c r="L39" i="15"/>
  <c r="M39" i="15"/>
  <c r="K40" i="15"/>
  <c r="L40" i="15"/>
  <c r="M40" i="15"/>
  <c r="K41" i="15"/>
  <c r="L41" i="15"/>
  <c r="M41" i="15"/>
  <c r="K42" i="15"/>
  <c r="L42" i="15"/>
  <c r="M42" i="15"/>
  <c r="K43" i="15"/>
  <c r="L43" i="15"/>
  <c r="M43" i="15"/>
  <c r="K44" i="15"/>
  <c r="L44" i="15"/>
  <c r="M44" i="15"/>
  <c r="K45" i="15"/>
  <c r="L45" i="15"/>
  <c r="M45" i="15"/>
  <c r="K46" i="15"/>
  <c r="L46" i="15"/>
  <c r="M46" i="15"/>
  <c r="K47" i="15"/>
  <c r="L47" i="15"/>
  <c r="M47" i="15"/>
  <c r="K49" i="15"/>
  <c r="L49" i="15"/>
  <c r="M49" i="15"/>
  <c r="K50" i="15"/>
  <c r="L50" i="15"/>
  <c r="M50" i="15"/>
  <c r="K51" i="15"/>
  <c r="L51" i="15"/>
  <c r="M51" i="15"/>
  <c r="K52" i="15"/>
  <c r="L52" i="15"/>
  <c r="M52" i="15"/>
  <c r="K53" i="15"/>
  <c r="L53" i="15"/>
  <c r="M53" i="15"/>
  <c r="M92" i="15"/>
  <c r="L13" i="15"/>
  <c r="S94" i="15"/>
  <c r="C11" i="13"/>
  <c r="C117" i="66" s="1"/>
  <c r="D11" i="13"/>
  <c r="D117" i="66" s="1"/>
  <c r="K11" i="13"/>
  <c r="L11" i="13"/>
  <c r="M11" i="13" s="1"/>
  <c r="C14" i="13"/>
  <c r="C118" i="66" s="1"/>
  <c r="D14" i="13"/>
  <c r="D118" i="66" s="1"/>
  <c r="K14" i="13"/>
  <c r="C10" i="86"/>
  <c r="K10" i="86"/>
  <c r="D17" i="86"/>
  <c r="K17" i="86"/>
  <c r="C10" i="48"/>
  <c r="C12" i="48" s="1"/>
  <c r="C60" i="66" s="1"/>
  <c r="D10" i="48"/>
  <c r="D12" i="48" s="1"/>
  <c r="D60" i="66" s="1"/>
  <c r="K10" i="48"/>
  <c r="K12" i="48" s="1"/>
  <c r="L10" i="48"/>
  <c r="L12" i="48" s="1"/>
  <c r="C16" i="47"/>
  <c r="D16" i="47"/>
  <c r="K16" i="47"/>
  <c r="K21" i="47" s="1"/>
  <c r="C10" i="46"/>
  <c r="D10" i="46"/>
  <c r="K10" i="46"/>
  <c r="C14" i="46"/>
  <c r="D14" i="46"/>
  <c r="L14" i="46"/>
  <c r="C10" i="45"/>
  <c r="C12" i="45" s="1"/>
  <c r="C56" i="66" s="1"/>
  <c r="D10" i="45"/>
  <c r="D12" i="45" s="1"/>
  <c r="K10" i="45"/>
  <c r="K12" i="45" s="1"/>
  <c r="L10" i="45"/>
  <c r="L12" i="45" s="1"/>
  <c r="I28" i="129" s="1"/>
  <c r="C19" i="44"/>
  <c r="D19" i="44"/>
  <c r="K19" i="44"/>
  <c r="C32" i="44"/>
  <c r="D32" i="44"/>
  <c r="K32" i="44"/>
  <c r="C19" i="60"/>
  <c r="C26" i="60" s="1"/>
  <c r="D19" i="60"/>
  <c r="K19" i="60"/>
  <c r="K26" i="60" s="1"/>
  <c r="K28" i="43"/>
  <c r="D53" i="43"/>
  <c r="C56" i="43"/>
  <c r="D56" i="43"/>
  <c r="D53" i="66" s="1"/>
  <c r="K56" i="43"/>
  <c r="P79" i="43"/>
  <c r="C39" i="87"/>
  <c r="C41" i="87" s="1"/>
  <c r="D39" i="87"/>
  <c r="D41" i="87" s="1"/>
  <c r="D47" i="66" s="1"/>
  <c r="K39" i="87"/>
  <c r="K41" i="87" s="1"/>
  <c r="D19" i="129"/>
  <c r="C15" i="41"/>
  <c r="C18" i="41" s="1"/>
  <c r="C45" i="66" s="1"/>
  <c r="D15" i="41"/>
  <c r="D18" i="41" s="1"/>
  <c r="K15" i="41"/>
  <c r="K18" i="41" s="1"/>
  <c r="C12" i="40"/>
  <c r="D12" i="40"/>
  <c r="K12" i="40"/>
  <c r="C28" i="40"/>
  <c r="D28" i="40"/>
  <c r="K28" i="40"/>
  <c r="N38" i="40"/>
  <c r="L11" i="40" s="1"/>
  <c r="I54" i="40" s="1"/>
  <c r="C17" i="38"/>
  <c r="C36" i="38" s="1"/>
  <c r="D17" i="38"/>
  <c r="D34" i="38"/>
  <c r="K34" i="38"/>
  <c r="N48" i="38"/>
  <c r="L14" i="38" s="1"/>
  <c r="C12" i="36"/>
  <c r="C15" i="36" s="1"/>
  <c r="C40" i="66" s="1"/>
  <c r="D12" i="36"/>
  <c r="D15" i="36" s="1"/>
  <c r="K12" i="36"/>
  <c r="K15" i="36" s="1"/>
  <c r="L12" i="36"/>
  <c r="L15" i="36" s="1"/>
  <c r="I13" i="129" s="1"/>
  <c r="C16" i="35"/>
  <c r="D16" i="35"/>
  <c r="C31" i="35"/>
  <c r="D31" i="35"/>
  <c r="K31" i="35"/>
  <c r="N48" i="35"/>
  <c r="L12" i="35" s="1"/>
  <c r="C16" i="34"/>
  <c r="D16" i="34"/>
  <c r="K16" i="34"/>
  <c r="C36" i="34"/>
  <c r="D36" i="34"/>
  <c r="D41" i="34" s="1"/>
  <c r="K36" i="34"/>
  <c r="C24" i="33"/>
  <c r="D24" i="33"/>
  <c r="K24" i="33"/>
  <c r="C11" i="32"/>
  <c r="C14" i="32" s="1"/>
  <c r="C35" i="66" s="1"/>
  <c r="D11" i="32"/>
  <c r="D14" i="32" s="1"/>
  <c r="K11" i="32"/>
  <c r="K14" i="32" s="1"/>
  <c r="C15" i="31"/>
  <c r="C18" i="31" s="1"/>
  <c r="C34" i="66" s="1"/>
  <c r="D15" i="31"/>
  <c r="D18" i="31" s="1"/>
  <c r="D34" i="66" s="1"/>
  <c r="K15" i="31"/>
  <c r="K18" i="31" s="1"/>
  <c r="L18" i="31"/>
  <c r="D19" i="30"/>
  <c r="K19" i="30"/>
  <c r="C34" i="30"/>
  <c r="D34" i="30"/>
  <c r="D36" i="30" s="1"/>
  <c r="K34" i="30"/>
  <c r="C10" i="29"/>
  <c r="K10" i="29"/>
  <c r="C21" i="29"/>
  <c r="D21" i="29"/>
  <c r="D23" i="29" s="1"/>
  <c r="K21" i="29"/>
  <c r="B5" i="129"/>
  <c r="A6" i="129"/>
  <c r="B6" i="129"/>
  <c r="A7" i="129"/>
  <c r="B7" i="129"/>
  <c r="A8" i="129"/>
  <c r="B8" i="129"/>
  <c r="A9" i="129"/>
  <c r="B9" i="129"/>
  <c r="A10" i="129"/>
  <c r="B10" i="129"/>
  <c r="A11" i="129"/>
  <c r="B11" i="129"/>
  <c r="A12" i="129"/>
  <c r="B12" i="129"/>
  <c r="A13" i="129"/>
  <c r="B13" i="129"/>
  <c r="A15" i="129"/>
  <c r="B15" i="129"/>
  <c r="A16" i="129"/>
  <c r="B16" i="129"/>
  <c r="A17" i="129"/>
  <c r="B17" i="129"/>
  <c r="A18" i="129"/>
  <c r="B18" i="129"/>
  <c r="A20" i="129"/>
  <c r="B20" i="129"/>
  <c r="B23" i="129"/>
  <c r="A24" i="129"/>
  <c r="B24" i="129"/>
  <c r="A26" i="129"/>
  <c r="B26" i="129"/>
  <c r="A27" i="129"/>
  <c r="B27" i="129"/>
  <c r="A28" i="129"/>
  <c r="B28" i="129"/>
  <c r="A29" i="129"/>
  <c r="B29" i="129"/>
  <c r="A30" i="129"/>
  <c r="B30" i="129"/>
  <c r="A31" i="129"/>
  <c r="B31" i="129"/>
  <c r="A32" i="129"/>
  <c r="B32" i="129"/>
  <c r="A46" i="129"/>
  <c r="B46" i="129"/>
  <c r="B33" i="129"/>
  <c r="B35" i="129"/>
  <c r="A36" i="129"/>
  <c r="B36" i="129"/>
  <c r="A38" i="129"/>
  <c r="B38" i="129"/>
  <c r="A39" i="129"/>
  <c r="B39" i="129"/>
  <c r="A41" i="129"/>
  <c r="B41" i="129"/>
  <c r="B42" i="129"/>
  <c r="B44" i="129"/>
  <c r="A47" i="129"/>
  <c r="B47" i="129"/>
  <c r="A48" i="129"/>
  <c r="B48" i="129"/>
  <c r="B49" i="129"/>
  <c r="B51" i="129"/>
  <c r="A52" i="129"/>
  <c r="B52" i="129"/>
  <c r="A53" i="129"/>
  <c r="B53" i="129"/>
  <c r="A54" i="129"/>
  <c r="B54" i="129"/>
  <c r="A55" i="129"/>
  <c r="B55" i="129"/>
  <c r="B58" i="129"/>
  <c r="A59" i="129"/>
  <c r="B59" i="129"/>
  <c r="B61" i="129"/>
  <c r="A62" i="129"/>
  <c r="B62" i="129"/>
  <c r="C62" i="129"/>
  <c r="B64" i="129"/>
  <c r="A65" i="129"/>
  <c r="B65" i="129"/>
  <c r="A66" i="129"/>
  <c r="B66" i="129"/>
  <c r="B67" i="129"/>
  <c r="A104" i="129"/>
  <c r="B104" i="129"/>
  <c r="Q103" i="66"/>
  <c r="S103" i="66"/>
  <c r="T103" i="66"/>
  <c r="O119" i="66"/>
  <c r="O123" i="66" s="1"/>
  <c r="Q119" i="66"/>
  <c r="S119" i="66"/>
  <c r="T119" i="66"/>
  <c r="M121" i="66"/>
  <c r="D27" i="49"/>
  <c r="D85" i="66" s="1"/>
  <c r="P118" i="66"/>
  <c r="P119" i="66" s="1"/>
  <c r="P123" i="66" s="1"/>
  <c r="I7" i="2"/>
  <c r="I28" i="2" s="1"/>
  <c r="E124" i="141"/>
  <c r="M13" i="15"/>
  <c r="L15" i="4"/>
  <c r="L18" i="4" s="1"/>
  <c r="I18" i="53"/>
  <c r="I20" i="53" s="1"/>
  <c r="I30" i="40"/>
  <c r="L18" i="41"/>
  <c r="B67" i="138"/>
  <c r="B98" i="138"/>
  <c r="E70" i="138"/>
  <c r="E101" i="138"/>
  <c r="C67" i="138"/>
  <c r="E67" i="138"/>
  <c r="E98" i="138"/>
  <c r="G67" i="138"/>
  <c r="G98" i="138"/>
  <c r="C68" i="138"/>
  <c r="E68" i="138"/>
  <c r="E99" i="138"/>
  <c r="G68" i="138"/>
  <c r="G99" i="138"/>
  <c r="F70" i="138"/>
  <c r="F101" i="138"/>
  <c r="H70" i="138"/>
  <c r="H101" i="138"/>
  <c r="G71" i="138"/>
  <c r="G102" i="138"/>
  <c r="B68" i="138"/>
  <c r="B99" i="138"/>
  <c r="E71" i="138"/>
  <c r="E102" i="138"/>
  <c r="D67" i="138"/>
  <c r="D98" i="138"/>
  <c r="F98" i="138"/>
  <c r="H67" i="138"/>
  <c r="H98" i="138"/>
  <c r="D68" i="138"/>
  <c r="D99" i="138"/>
  <c r="F68" i="138"/>
  <c r="F99" i="138"/>
  <c r="H68" i="138"/>
  <c r="H99" i="138"/>
  <c r="G70" i="138"/>
  <c r="G101" i="138"/>
  <c r="F71" i="138"/>
  <c r="F102" i="138"/>
  <c r="H71" i="138"/>
  <c r="H102" i="138"/>
  <c r="J115" i="141"/>
  <c r="J95" i="141"/>
  <c r="I33" i="35"/>
  <c r="I15" i="36"/>
  <c r="I12" i="45"/>
  <c r="I19" i="13"/>
  <c r="D19" i="13"/>
  <c r="B116" i="141"/>
  <c r="B96" i="141"/>
  <c r="B104" i="141"/>
  <c r="B143" i="141"/>
  <c r="I36" i="30"/>
  <c r="B125" i="141"/>
  <c r="J144" i="141"/>
  <c r="J116" i="141"/>
  <c r="J96" i="141"/>
  <c r="D116" i="141"/>
  <c r="F116" i="141"/>
  <c r="F96" i="141"/>
  <c r="F105" i="141"/>
  <c r="H116" i="141"/>
  <c r="I41" i="34"/>
  <c r="R206" i="66"/>
  <c r="F143" i="141"/>
  <c r="H143" i="141"/>
  <c r="P206" i="66"/>
  <c r="L95" i="66"/>
  <c r="C60" i="51"/>
  <c r="D60" i="51"/>
  <c r="D92" i="66" s="1"/>
  <c r="D35" i="148"/>
  <c r="F35" i="148"/>
  <c r="H35" i="148"/>
  <c r="P13" i="51"/>
  <c r="J35" i="148"/>
  <c r="R13" i="51"/>
  <c r="L35" i="148"/>
  <c r="T13" i="51"/>
  <c r="N35" i="148"/>
  <c r="V13" i="51"/>
  <c r="P35" i="148"/>
  <c r="X13" i="51"/>
  <c r="R35" i="148"/>
  <c r="Z13" i="51"/>
  <c r="T35" i="148"/>
  <c r="AB13" i="51"/>
  <c r="D36" i="148"/>
  <c r="F36" i="148"/>
  <c r="H36" i="148"/>
  <c r="P14" i="51"/>
  <c r="J36" i="148"/>
  <c r="R14" i="6"/>
  <c r="R14" i="51"/>
  <c r="L36" i="148"/>
  <c r="T14" i="6"/>
  <c r="T14" i="51"/>
  <c r="N36" i="148"/>
  <c r="V14" i="6"/>
  <c r="V14" i="51"/>
  <c r="P36" i="148"/>
  <c r="X14" i="6"/>
  <c r="X14" i="51"/>
  <c r="R36" i="148"/>
  <c r="Z14" i="6"/>
  <c r="Z14" i="51"/>
  <c r="T36" i="148"/>
  <c r="AB14" i="6"/>
  <c r="AB14" i="51"/>
  <c r="D37" i="148"/>
  <c r="F37" i="148"/>
  <c r="H37" i="148"/>
  <c r="P15" i="51"/>
  <c r="J37" i="148"/>
  <c r="R15" i="6" s="1"/>
  <c r="R15" i="51"/>
  <c r="R16" i="51"/>
  <c r="L37" i="148"/>
  <c r="T15" i="6"/>
  <c r="T15" i="51"/>
  <c r="N37" i="148"/>
  <c r="V15" i="6" s="1"/>
  <c r="V15" i="51"/>
  <c r="V16" i="51"/>
  <c r="P37" i="148"/>
  <c r="X15" i="6" s="1"/>
  <c r="X15" i="51"/>
  <c r="R37" i="148"/>
  <c r="Z15" i="6"/>
  <c r="Z15" i="51"/>
  <c r="Z16" i="51"/>
  <c r="T37" i="148"/>
  <c r="AB15" i="6"/>
  <c r="AB15" i="51"/>
  <c r="D38" i="148"/>
  <c r="F38" i="148"/>
  <c r="H38" i="148"/>
  <c r="P16" i="51"/>
  <c r="J38" i="148"/>
  <c r="R16" i="6"/>
  <c r="L38" i="148"/>
  <c r="T16" i="6"/>
  <c r="T16" i="51"/>
  <c r="N38" i="148"/>
  <c r="V16" i="6"/>
  <c r="P38" i="148"/>
  <c r="X16" i="6"/>
  <c r="X16" i="51"/>
  <c r="R38" i="148"/>
  <c r="Z16" i="6"/>
  <c r="T38" i="148"/>
  <c r="AB16" i="6"/>
  <c r="AB16" i="51"/>
  <c r="D42" i="148"/>
  <c r="F42" i="148"/>
  <c r="H42" i="148"/>
  <c r="P35" i="51"/>
  <c r="J42" i="148"/>
  <c r="R35" i="51"/>
  <c r="L42" i="148"/>
  <c r="T35" i="51"/>
  <c r="N42" i="148"/>
  <c r="V35" i="51"/>
  <c r="P42" i="148"/>
  <c r="X35" i="51"/>
  <c r="R42" i="148"/>
  <c r="Z35" i="51"/>
  <c r="T42" i="148"/>
  <c r="AB35" i="51"/>
  <c r="D43" i="148"/>
  <c r="F43" i="148"/>
  <c r="H43" i="148"/>
  <c r="P36" i="51"/>
  <c r="J43" i="148"/>
  <c r="R38" i="6"/>
  <c r="R36" i="51"/>
  <c r="L43" i="148"/>
  <c r="T38" i="6"/>
  <c r="T36" i="51"/>
  <c r="N43" i="148"/>
  <c r="V38" i="6"/>
  <c r="V36" i="51"/>
  <c r="P43" i="148"/>
  <c r="X38" i="6"/>
  <c r="X36" i="51"/>
  <c r="R43" i="148"/>
  <c r="Z38" i="6"/>
  <c r="Z36" i="51"/>
  <c r="T43" i="148"/>
  <c r="AB38" i="6"/>
  <c r="AB36" i="51"/>
  <c r="D44" i="148"/>
  <c r="F44" i="148"/>
  <c r="H44" i="148"/>
  <c r="P37" i="51"/>
  <c r="J44" i="148"/>
  <c r="R39" i="6"/>
  <c r="R37" i="51"/>
  <c r="L44" i="148"/>
  <c r="T39" i="6"/>
  <c r="T37" i="51"/>
  <c r="N44" i="148"/>
  <c r="V39" i="6"/>
  <c r="V37" i="51"/>
  <c r="P44" i="148"/>
  <c r="X39" i="6"/>
  <c r="X37" i="51"/>
  <c r="R44" i="148"/>
  <c r="Z39" i="6"/>
  <c r="Z37" i="51"/>
  <c r="T44" i="148"/>
  <c r="AB39" i="6"/>
  <c r="AB37" i="51"/>
  <c r="D45" i="148"/>
  <c r="F45" i="148"/>
  <c r="H45" i="148"/>
  <c r="P38" i="51"/>
  <c r="J45" i="148"/>
  <c r="R40" i="6"/>
  <c r="R38" i="51"/>
  <c r="L45" i="148"/>
  <c r="T40" i="6"/>
  <c r="T38" i="51"/>
  <c r="N45" i="148"/>
  <c r="V40" i="6"/>
  <c r="V38" i="51"/>
  <c r="P45" i="148"/>
  <c r="X40" i="6"/>
  <c r="X38" i="51"/>
  <c r="R45" i="148"/>
  <c r="Z40" i="6"/>
  <c r="Z38" i="51"/>
  <c r="T45" i="148"/>
  <c r="AB40" i="6"/>
  <c r="AB38" i="51"/>
  <c r="D46" i="148"/>
  <c r="F46" i="148"/>
  <c r="H46" i="148"/>
  <c r="P39" i="51"/>
  <c r="J46" i="148"/>
  <c r="R41" i="6" s="1"/>
  <c r="R39" i="51"/>
  <c r="L46" i="148"/>
  <c r="T41" i="6"/>
  <c r="T39" i="51"/>
  <c r="N46" i="148"/>
  <c r="V41" i="6" s="1"/>
  <c r="V39" i="51"/>
  <c r="P46" i="148"/>
  <c r="X41" i="6"/>
  <c r="X39" i="51"/>
  <c r="R46" i="148"/>
  <c r="Z41" i="6" s="1"/>
  <c r="Z39" i="51"/>
  <c r="T46" i="148"/>
  <c r="AB41" i="6"/>
  <c r="AB39" i="51"/>
  <c r="D47" i="148"/>
  <c r="F47" i="148"/>
  <c r="H47" i="148"/>
  <c r="P40" i="51"/>
  <c r="J47" i="148"/>
  <c r="R42" i="6"/>
  <c r="R40" i="51"/>
  <c r="L47" i="148"/>
  <c r="T42" i="6"/>
  <c r="T40" i="51"/>
  <c r="N47" i="148"/>
  <c r="V42" i="6"/>
  <c r="V40" i="51"/>
  <c r="P47" i="148"/>
  <c r="X42" i="6"/>
  <c r="X40" i="51"/>
  <c r="R47" i="148"/>
  <c r="Z42" i="6"/>
  <c r="Z40" i="51"/>
  <c r="T47" i="148"/>
  <c r="AB42" i="6"/>
  <c r="AB40" i="51"/>
  <c r="V35" i="148"/>
  <c r="AD13" i="51"/>
  <c r="X35" i="148"/>
  <c r="AF13" i="51"/>
  <c r="Z35" i="148"/>
  <c r="AH13" i="51"/>
  <c r="AB35" i="148"/>
  <c r="AJ13" i="51"/>
  <c r="V36" i="148"/>
  <c r="AD14" i="6"/>
  <c r="AD14" i="51"/>
  <c r="X36" i="148"/>
  <c r="AF14" i="6"/>
  <c r="AF14" i="51"/>
  <c r="Z36" i="148"/>
  <c r="AH14" i="6"/>
  <c r="AH14" i="51"/>
  <c r="AB36" i="148"/>
  <c r="AJ14" i="6"/>
  <c r="AJ14" i="51"/>
  <c r="V37" i="148"/>
  <c r="AD15" i="6" s="1"/>
  <c r="AD15" i="51"/>
  <c r="Z37" i="148"/>
  <c r="AH15" i="6"/>
  <c r="AH15" i="51"/>
  <c r="AB37" i="148"/>
  <c r="AJ15" i="6"/>
  <c r="AJ15" i="51"/>
  <c r="V38" i="148"/>
  <c r="AD16" i="6"/>
  <c r="AD16" i="51"/>
  <c r="X38" i="148"/>
  <c r="AF16" i="6"/>
  <c r="AF16" i="51"/>
  <c r="Z38" i="148"/>
  <c r="AH16" i="6"/>
  <c r="AH16" i="51"/>
  <c r="AB38" i="148"/>
  <c r="AJ16" i="6"/>
  <c r="AJ16" i="51"/>
  <c r="V42" i="148"/>
  <c r="AD35" i="51"/>
  <c r="X42" i="148"/>
  <c r="X49" i="148"/>
  <c r="AF35" i="51"/>
  <c r="Z42" i="148"/>
  <c r="AH35" i="51"/>
  <c r="AB42" i="148"/>
  <c r="AJ35" i="51"/>
  <c r="V43" i="148"/>
  <c r="AD38" i="6"/>
  <c r="AD36" i="51"/>
  <c r="X43" i="148"/>
  <c r="AF38" i="6"/>
  <c r="AF36" i="51"/>
  <c r="Z43" i="148"/>
  <c r="AH38" i="6"/>
  <c r="AH36" i="51"/>
  <c r="AB43" i="148"/>
  <c r="AJ38" i="6"/>
  <c r="AJ36" i="51"/>
  <c r="V44" i="148"/>
  <c r="AD39" i="6"/>
  <c r="AD37" i="51"/>
  <c r="X44" i="148"/>
  <c r="AF39" i="6"/>
  <c r="AF37" i="51"/>
  <c r="Z44" i="148"/>
  <c r="AH39" i="6"/>
  <c r="AH37" i="51"/>
  <c r="AB44" i="148"/>
  <c r="AJ39" i="6"/>
  <c r="AJ37" i="51"/>
  <c r="V45" i="148"/>
  <c r="AD40" i="6"/>
  <c r="AD38" i="51"/>
  <c r="X45" i="148"/>
  <c r="AF40" i="6"/>
  <c r="AF38" i="51"/>
  <c r="Z45" i="148"/>
  <c r="AH40" i="6"/>
  <c r="AH38" i="51"/>
  <c r="AB45" i="148"/>
  <c r="AJ40" i="6"/>
  <c r="AJ38" i="51"/>
  <c r="V46" i="148"/>
  <c r="AD41" i="6" s="1"/>
  <c r="AD39" i="51"/>
  <c r="X46" i="148"/>
  <c r="AF41" i="6"/>
  <c r="AF39" i="51"/>
  <c r="Z46" i="148"/>
  <c r="AH41" i="6" s="1"/>
  <c r="AH39" i="51"/>
  <c r="AB46" i="148"/>
  <c r="AJ41" i="6" s="1"/>
  <c r="AJ39" i="51"/>
  <c r="V47" i="148"/>
  <c r="AD42" i="6"/>
  <c r="AD40" i="51"/>
  <c r="X47" i="148"/>
  <c r="AF42" i="6"/>
  <c r="AF40" i="51"/>
  <c r="Z47" i="148"/>
  <c r="AH42" i="6"/>
  <c r="AH40" i="51"/>
  <c r="AB47" i="148"/>
  <c r="AJ42" i="6"/>
  <c r="AJ40" i="51"/>
  <c r="AD35" i="148"/>
  <c r="AL13" i="51"/>
  <c r="AF35" i="148"/>
  <c r="AN13" i="51"/>
  <c r="AH35" i="148"/>
  <c r="AP13" i="51"/>
  <c r="AE36" i="148"/>
  <c r="AM14" i="6"/>
  <c r="AM14" i="51"/>
  <c r="AG36" i="148"/>
  <c r="AO14" i="6"/>
  <c r="AO14" i="51"/>
  <c r="AD37" i="148"/>
  <c r="AL15" i="6" s="1"/>
  <c r="AL15" i="51"/>
  <c r="AF37" i="148"/>
  <c r="AN15" i="6" s="1"/>
  <c r="AN15" i="51"/>
  <c r="AH37" i="148"/>
  <c r="AP15" i="6"/>
  <c r="AP15" i="51"/>
  <c r="AE38" i="148"/>
  <c r="AM16" i="6"/>
  <c r="AM16" i="51"/>
  <c r="AG38" i="148"/>
  <c r="AO16" i="6"/>
  <c r="AO16" i="51"/>
  <c r="AD24" i="148"/>
  <c r="AL35" i="51"/>
  <c r="AF24" i="148"/>
  <c r="AN35" i="51"/>
  <c r="AH24" i="148"/>
  <c r="AP35" i="51"/>
  <c r="AE43" i="148"/>
  <c r="AM38" i="6"/>
  <c r="AM36" i="51"/>
  <c r="AG43" i="148"/>
  <c r="AO38" i="6"/>
  <c r="AO36" i="51"/>
  <c r="AD44" i="148"/>
  <c r="AL39" i="6"/>
  <c r="AL37" i="51"/>
  <c r="AF44" i="148"/>
  <c r="AN39" i="6"/>
  <c r="AN37" i="51"/>
  <c r="AH44" i="148"/>
  <c r="AP39" i="6"/>
  <c r="AP37" i="51"/>
  <c r="AE45" i="148"/>
  <c r="AM40" i="6"/>
  <c r="AM38" i="51"/>
  <c r="AG45" i="148"/>
  <c r="AO40" i="6"/>
  <c r="AO42" i="6"/>
  <c r="AO38" i="51"/>
  <c r="AD46" i="148"/>
  <c r="AL41" i="6" s="1"/>
  <c r="AL39" i="51"/>
  <c r="AF46" i="148"/>
  <c r="AN41" i="6" s="1"/>
  <c r="AN39" i="51"/>
  <c r="AH46" i="148"/>
  <c r="AP41" i="6"/>
  <c r="AP39" i="51"/>
  <c r="AE47" i="148"/>
  <c r="AM42" i="6"/>
  <c r="AM40" i="51"/>
  <c r="AG47" i="148"/>
  <c r="AO40" i="51"/>
  <c r="AI35" i="148"/>
  <c r="AQ13" i="6"/>
  <c r="AQ13" i="51"/>
  <c r="AI36" i="148"/>
  <c r="AQ14" i="6"/>
  <c r="AQ14" i="51"/>
  <c r="AI37" i="148"/>
  <c r="AQ15" i="6"/>
  <c r="AQ15" i="51"/>
  <c r="AI38" i="148"/>
  <c r="AQ16" i="6"/>
  <c r="AQ16" i="51"/>
  <c r="AI42" i="148"/>
  <c r="AQ35" i="51"/>
  <c r="AI43" i="148"/>
  <c r="AQ38" i="6"/>
  <c r="AQ36" i="51"/>
  <c r="AI44" i="148"/>
  <c r="AQ39" i="6"/>
  <c r="AQ37" i="51"/>
  <c r="AI45" i="148"/>
  <c r="AQ40" i="6"/>
  <c r="AQ38" i="51"/>
  <c r="AI46" i="148"/>
  <c r="AQ41" i="6"/>
  <c r="AQ39" i="51"/>
  <c r="AI47" i="148"/>
  <c r="AQ42" i="6"/>
  <c r="AQ40" i="51"/>
  <c r="AD76" i="148"/>
  <c r="AF76" i="148"/>
  <c r="AH76" i="148"/>
  <c r="AE76" i="148"/>
  <c r="AG76" i="148"/>
  <c r="AI76" i="148"/>
  <c r="E35" i="148"/>
  <c r="G35" i="148"/>
  <c r="O13" i="51"/>
  <c r="L13" i="51" s="1"/>
  <c r="I35" i="148"/>
  <c r="Q13" i="51"/>
  <c r="K35" i="148"/>
  <c r="S13" i="6"/>
  <c r="S13" i="51"/>
  <c r="M35" i="148"/>
  <c r="U13" i="51"/>
  <c r="O35" i="148"/>
  <c r="W13" i="51"/>
  <c r="Q35" i="148"/>
  <c r="Y13" i="51"/>
  <c r="S35" i="148"/>
  <c r="AA13" i="51"/>
  <c r="U35" i="148"/>
  <c r="AC13" i="51"/>
  <c r="E36" i="148"/>
  <c r="G36" i="148"/>
  <c r="O14" i="6"/>
  <c r="L14" i="6" s="1"/>
  <c r="O14" i="51"/>
  <c r="L14" i="51" s="1"/>
  <c r="I36" i="148"/>
  <c r="Q14" i="6"/>
  <c r="Q14" i="51"/>
  <c r="K36" i="148"/>
  <c r="S14" i="6"/>
  <c r="S14" i="51"/>
  <c r="M36" i="148"/>
  <c r="U14" i="6"/>
  <c r="U14" i="51"/>
  <c r="O36" i="148"/>
  <c r="W14" i="6"/>
  <c r="W14" i="51"/>
  <c r="Q36" i="148"/>
  <c r="Y14" i="6"/>
  <c r="Y14" i="51"/>
  <c r="S36" i="148"/>
  <c r="AA14" i="6"/>
  <c r="AA14" i="51"/>
  <c r="U36" i="148"/>
  <c r="AC14" i="6"/>
  <c r="AC14" i="51"/>
  <c r="E37" i="148"/>
  <c r="G37" i="148"/>
  <c r="O15" i="6" s="1"/>
  <c r="L15" i="6" s="1"/>
  <c r="O15" i="51"/>
  <c r="L15" i="51" s="1"/>
  <c r="Q15" i="51"/>
  <c r="K37" i="148"/>
  <c r="S15" i="6"/>
  <c r="S15" i="51"/>
  <c r="M37" i="148"/>
  <c r="U15" i="6" s="1"/>
  <c r="U15" i="51"/>
  <c r="U16" i="51"/>
  <c r="O37" i="148"/>
  <c r="W15" i="6" s="1"/>
  <c r="W15" i="51"/>
  <c r="Q37" i="148"/>
  <c r="Y15" i="6"/>
  <c r="Y15" i="51"/>
  <c r="S37" i="148"/>
  <c r="AA15" i="6" s="1"/>
  <c r="AA15" i="51"/>
  <c r="U37" i="148"/>
  <c r="AC15" i="6" s="1"/>
  <c r="AC15" i="51"/>
  <c r="E38" i="148"/>
  <c r="G38" i="148"/>
  <c r="O16" i="6"/>
  <c r="L16" i="6" s="1"/>
  <c r="O16" i="51"/>
  <c r="L16" i="51" s="1"/>
  <c r="I38" i="148"/>
  <c r="Q16" i="6"/>
  <c r="Q16" i="51"/>
  <c r="K38" i="148"/>
  <c r="S16" i="6"/>
  <c r="S16" i="51"/>
  <c r="M38" i="148"/>
  <c r="U16" i="6"/>
  <c r="O38" i="148"/>
  <c r="W16" i="6"/>
  <c r="W16" i="51"/>
  <c r="Q38" i="148"/>
  <c r="Q39" i="148"/>
  <c r="Y16" i="6"/>
  <c r="Y16" i="51"/>
  <c r="S38" i="148"/>
  <c r="AA16" i="6"/>
  <c r="AA16" i="51"/>
  <c r="U38" i="148"/>
  <c r="AC16" i="6"/>
  <c r="AC16" i="51"/>
  <c r="E42" i="148"/>
  <c r="G42" i="148"/>
  <c r="O35" i="51"/>
  <c r="L35" i="51" s="1"/>
  <c r="I42" i="148"/>
  <c r="Q35" i="51"/>
  <c r="K42" i="148"/>
  <c r="S37" i="6"/>
  <c r="S35" i="51"/>
  <c r="M42" i="148"/>
  <c r="U35" i="51"/>
  <c r="O42" i="148"/>
  <c r="O49" i="148"/>
  <c r="W35" i="51"/>
  <c r="Q42" i="148"/>
  <c r="Y35" i="51"/>
  <c r="S42" i="148"/>
  <c r="AA37" i="6"/>
  <c r="AA35" i="51"/>
  <c r="U42" i="148"/>
  <c r="AC35" i="51"/>
  <c r="E43" i="148"/>
  <c r="G43" i="148"/>
  <c r="O38" i="6"/>
  <c r="L38" i="6" s="1"/>
  <c r="O36" i="51"/>
  <c r="L36" i="51" s="1"/>
  <c r="I43" i="148"/>
  <c r="Q38" i="6"/>
  <c r="Q36" i="51"/>
  <c r="K43" i="148"/>
  <c r="S38" i="6"/>
  <c r="S36" i="51"/>
  <c r="M43" i="148"/>
  <c r="U38" i="6"/>
  <c r="U36" i="51"/>
  <c r="U37" i="51"/>
  <c r="U38" i="51"/>
  <c r="U39" i="51"/>
  <c r="U40" i="51"/>
  <c r="O43" i="148"/>
  <c r="W38" i="6"/>
  <c r="W36" i="51"/>
  <c r="Q43" i="148"/>
  <c r="Y38" i="6"/>
  <c r="Y36" i="51"/>
  <c r="S43" i="148"/>
  <c r="AA38" i="6"/>
  <c r="AA36" i="51"/>
  <c r="U43" i="148"/>
  <c r="AC38" i="6"/>
  <c r="AC36" i="51"/>
  <c r="E44" i="148"/>
  <c r="G44" i="148"/>
  <c r="O39" i="6"/>
  <c r="L39" i="6" s="1"/>
  <c r="O37" i="51"/>
  <c r="L37" i="51" s="1"/>
  <c r="I44" i="148"/>
  <c r="Q39" i="6"/>
  <c r="Q37" i="51"/>
  <c r="K44" i="148"/>
  <c r="S39" i="6"/>
  <c r="S37" i="51"/>
  <c r="M44" i="148"/>
  <c r="U39" i="6"/>
  <c r="O44" i="148"/>
  <c r="W39" i="6"/>
  <c r="W37" i="51"/>
  <c r="Q44" i="148"/>
  <c r="Y39" i="6"/>
  <c r="Y37" i="51"/>
  <c r="S44" i="148"/>
  <c r="AA39" i="6"/>
  <c r="AA37" i="51"/>
  <c r="U44" i="148"/>
  <c r="AC39" i="6"/>
  <c r="AC37" i="51"/>
  <c r="E45" i="148"/>
  <c r="G45" i="148"/>
  <c r="O40" i="6"/>
  <c r="L40" i="6" s="1"/>
  <c r="O38" i="51"/>
  <c r="L38" i="51" s="1"/>
  <c r="I45" i="148"/>
  <c r="Q40" i="6"/>
  <c r="Q38" i="51"/>
  <c r="K45" i="148"/>
  <c r="S40" i="6"/>
  <c r="S38" i="51"/>
  <c r="M45" i="148"/>
  <c r="U40" i="6"/>
  <c r="O45" i="148"/>
  <c r="W40" i="6"/>
  <c r="W38" i="51"/>
  <c r="Q45" i="148"/>
  <c r="Y40" i="6"/>
  <c r="Y38" i="51"/>
  <c r="S45" i="148"/>
  <c r="AA40" i="6"/>
  <c r="AA13" i="6"/>
  <c r="AA38" i="51"/>
  <c r="U45" i="148"/>
  <c r="AC40" i="6"/>
  <c r="AC38" i="51"/>
  <c r="E46" i="148"/>
  <c r="G46" i="148"/>
  <c r="G49" i="148" s="1"/>
  <c r="O41" i="6"/>
  <c r="L41" i="6" s="1"/>
  <c r="O39" i="51"/>
  <c r="L39" i="51" s="1"/>
  <c r="I46" i="148"/>
  <c r="Q41" i="6" s="1"/>
  <c r="Q39" i="51"/>
  <c r="K46" i="148"/>
  <c r="S41" i="6" s="1"/>
  <c r="S39" i="51"/>
  <c r="M46" i="148"/>
  <c r="M49" i="148" s="1"/>
  <c r="O46" i="148"/>
  <c r="W41" i="6"/>
  <c r="W39" i="51"/>
  <c r="Q46" i="148"/>
  <c r="Y41" i="6" s="1"/>
  <c r="Y39" i="51"/>
  <c r="S46" i="148"/>
  <c r="AA41" i="6" s="1"/>
  <c r="AA39" i="51"/>
  <c r="U46" i="148"/>
  <c r="AC41" i="6" s="1"/>
  <c r="AC39" i="51"/>
  <c r="E47" i="148"/>
  <c r="G47" i="148"/>
  <c r="O42" i="6"/>
  <c r="L42" i="6" s="1"/>
  <c r="O40" i="51"/>
  <c r="L40" i="51" s="1"/>
  <c r="I47" i="148"/>
  <c r="Q42" i="6"/>
  <c r="Q40" i="51"/>
  <c r="K47" i="148"/>
  <c r="S42" i="6"/>
  <c r="S40" i="51"/>
  <c r="M47" i="148"/>
  <c r="U42" i="6"/>
  <c r="O47" i="148"/>
  <c r="W42" i="6"/>
  <c r="W40" i="51"/>
  <c r="Q47" i="148"/>
  <c r="Y42" i="6"/>
  <c r="Y40" i="51"/>
  <c r="S47" i="148"/>
  <c r="AA42" i="6"/>
  <c r="AA40" i="51"/>
  <c r="U47" i="148"/>
  <c r="AC42" i="6"/>
  <c r="AC40" i="51"/>
  <c r="W35" i="148"/>
  <c r="AE13" i="51"/>
  <c r="AE14" i="51"/>
  <c r="AE15" i="51"/>
  <c r="AE16" i="51"/>
  <c r="Y35" i="148"/>
  <c r="AG13" i="51"/>
  <c r="AG14" i="51"/>
  <c r="AG15" i="51"/>
  <c r="AG16" i="51"/>
  <c r="AA35" i="148"/>
  <c r="AI13" i="6"/>
  <c r="AI13" i="51"/>
  <c r="AI14" i="51"/>
  <c r="AI15" i="51"/>
  <c r="AI16" i="51"/>
  <c r="AC35" i="148"/>
  <c r="AK13" i="51"/>
  <c r="W36" i="148"/>
  <c r="AE14" i="6"/>
  <c r="Y36" i="148"/>
  <c r="AG14" i="6"/>
  <c r="AA36" i="148"/>
  <c r="AI14" i="6"/>
  <c r="AC36" i="148"/>
  <c r="AK14" i="6"/>
  <c r="AK14" i="51"/>
  <c r="W37" i="148"/>
  <c r="AE15" i="6" s="1"/>
  <c r="Y37" i="148"/>
  <c r="Y39" i="148" s="1"/>
  <c r="AA37" i="148"/>
  <c r="AI15" i="6"/>
  <c r="AC37" i="148"/>
  <c r="AK15" i="6"/>
  <c r="AK15" i="51"/>
  <c r="W38" i="148"/>
  <c r="AE16" i="6"/>
  <c r="Y38" i="148"/>
  <c r="AG16" i="6"/>
  <c r="AA38" i="148"/>
  <c r="AI16" i="6"/>
  <c r="AC38" i="148"/>
  <c r="AK16" i="6"/>
  <c r="AK16" i="51"/>
  <c r="W42" i="148"/>
  <c r="AE37" i="6"/>
  <c r="AE35" i="51"/>
  <c r="AE36" i="51"/>
  <c r="AE37" i="51"/>
  <c r="AE38" i="51"/>
  <c r="AE39" i="51"/>
  <c r="AE40" i="51"/>
  <c r="Y42" i="148"/>
  <c r="AG35" i="51"/>
  <c r="AG36" i="51"/>
  <c r="AG37" i="51"/>
  <c r="AG38" i="51"/>
  <c r="AG39" i="51"/>
  <c r="AG40" i="51"/>
  <c r="AA42" i="148"/>
  <c r="AA49" i="148"/>
  <c r="AI35" i="51"/>
  <c r="AI36" i="51"/>
  <c r="AI37" i="51"/>
  <c r="AI38" i="51"/>
  <c r="AI39" i="51"/>
  <c r="AI40" i="51"/>
  <c r="AC42" i="148"/>
  <c r="AK35" i="51"/>
  <c r="W43" i="148"/>
  <c r="AE38" i="6"/>
  <c r="Y43" i="148"/>
  <c r="AG38" i="6"/>
  <c r="AA43" i="148"/>
  <c r="AI38" i="6"/>
  <c r="AI37" i="6"/>
  <c r="AI42" i="6"/>
  <c r="AC43" i="148"/>
  <c r="AK38" i="6"/>
  <c r="AK36" i="51"/>
  <c r="W44" i="148"/>
  <c r="AE39" i="6"/>
  <c r="Y44" i="148"/>
  <c r="AG39" i="6"/>
  <c r="AA44" i="148"/>
  <c r="AI39" i="6"/>
  <c r="AC44" i="148"/>
  <c r="AK39" i="6"/>
  <c r="AK37" i="51"/>
  <c r="W45" i="148"/>
  <c r="AE40" i="6"/>
  <c r="Y45" i="148"/>
  <c r="AG40" i="6"/>
  <c r="AA45" i="148"/>
  <c r="AI40" i="6"/>
  <c r="AC45" i="148"/>
  <c r="AK40" i="6"/>
  <c r="AK38" i="51"/>
  <c r="W46" i="148"/>
  <c r="AE41" i="6" s="1"/>
  <c r="Y46" i="148"/>
  <c r="AG41" i="6" s="1"/>
  <c r="AA46" i="148"/>
  <c r="AI41" i="6"/>
  <c r="AC46" i="148"/>
  <c r="AK41" i="6" s="1"/>
  <c r="AK39" i="51"/>
  <c r="W47" i="148"/>
  <c r="AE42" i="6"/>
  <c r="Y47" i="148"/>
  <c r="AG42" i="6"/>
  <c r="AA47" i="148"/>
  <c r="AC47" i="148"/>
  <c r="AK42" i="6"/>
  <c r="AK40" i="51"/>
  <c r="AD36" i="148"/>
  <c r="AL14" i="6"/>
  <c r="AL14" i="51"/>
  <c r="AF36" i="148"/>
  <c r="AN14" i="6"/>
  <c r="AN14" i="51"/>
  <c r="AN16" i="51"/>
  <c r="AH36" i="148"/>
  <c r="AP14" i="6"/>
  <c r="AP14" i="51"/>
  <c r="AE37" i="148"/>
  <c r="AM15" i="6" s="1"/>
  <c r="AM15" i="51"/>
  <c r="AG37" i="148"/>
  <c r="AO15" i="6"/>
  <c r="AO15" i="51"/>
  <c r="AD38" i="148"/>
  <c r="AL16" i="6"/>
  <c r="AL16" i="51"/>
  <c r="AF38" i="148"/>
  <c r="AN16" i="6"/>
  <c r="AN13" i="6"/>
  <c r="AH38" i="148"/>
  <c r="AP16" i="6"/>
  <c r="AP16" i="51"/>
  <c r="AE42" i="148"/>
  <c r="AM37" i="6"/>
  <c r="AM35" i="51"/>
  <c r="AG42" i="148"/>
  <c r="AO37" i="6"/>
  <c r="AO35" i="51"/>
  <c r="AO37" i="51"/>
  <c r="AO39" i="51"/>
  <c r="AD43" i="148"/>
  <c r="AL38" i="6"/>
  <c r="AL36" i="51"/>
  <c r="AF43" i="148"/>
  <c r="AN38" i="6"/>
  <c r="AN36" i="51"/>
  <c r="AH43" i="148"/>
  <c r="AP38" i="6"/>
  <c r="AP36" i="51"/>
  <c r="AE44" i="148"/>
  <c r="AM39" i="6"/>
  <c r="AM37" i="51"/>
  <c r="AG44" i="148"/>
  <c r="AO39" i="6"/>
  <c r="AD45" i="148"/>
  <c r="AL40" i="6"/>
  <c r="AL38" i="51"/>
  <c r="AF45" i="148"/>
  <c r="AN40" i="6"/>
  <c r="AN38" i="51"/>
  <c r="AH45" i="148"/>
  <c r="AP40" i="6"/>
  <c r="AP38" i="51"/>
  <c r="AE46" i="148"/>
  <c r="AM41" i="6" s="1"/>
  <c r="AM39" i="51"/>
  <c r="AG46" i="148"/>
  <c r="AO41" i="6"/>
  <c r="AD47" i="148"/>
  <c r="AL42" i="6"/>
  <c r="AL40" i="51"/>
  <c r="AF47" i="148"/>
  <c r="AN42" i="6"/>
  <c r="AN40" i="51"/>
  <c r="AH47" i="148"/>
  <c r="AP42" i="6"/>
  <c r="AP40" i="51"/>
  <c r="AJ35" i="148"/>
  <c r="AR13" i="51"/>
  <c r="AJ36" i="148"/>
  <c r="AR14" i="51"/>
  <c r="AJ37" i="148"/>
  <c r="AR15" i="6"/>
  <c r="AR15" i="51"/>
  <c r="AJ38" i="148"/>
  <c r="AR16" i="6"/>
  <c r="AR16" i="51"/>
  <c r="AJ42" i="148"/>
  <c r="AR35" i="51"/>
  <c r="AJ43" i="148"/>
  <c r="AR38" i="6"/>
  <c r="AR36" i="51"/>
  <c r="AJ44" i="148"/>
  <c r="AR39" i="6"/>
  <c r="AR37" i="51"/>
  <c r="AJ45" i="148"/>
  <c r="AR40" i="6"/>
  <c r="AR38" i="51"/>
  <c r="AJ46" i="148"/>
  <c r="AR41" i="6" s="1"/>
  <c r="AR39" i="51"/>
  <c r="AJ47" i="148"/>
  <c r="AR42" i="6"/>
  <c r="AR40" i="51"/>
  <c r="AJ76" i="148"/>
  <c r="AG14" i="148"/>
  <c r="AE14" i="148"/>
  <c r="AC76" i="148"/>
  <c r="AJ14" i="148"/>
  <c r="AJ26" i="148" s="1"/>
  <c r="AJ78" i="148" s="1"/>
  <c r="AJ24" i="148"/>
  <c r="AI14" i="148"/>
  <c r="AI24" i="148"/>
  <c r="AD14" i="148"/>
  <c r="AD26" i="148" s="1"/>
  <c r="AD78" i="148" s="1"/>
  <c r="AF14" i="148"/>
  <c r="AH14" i="148"/>
  <c r="AH26" i="148"/>
  <c r="AH78" i="148"/>
  <c r="AE24" i="148"/>
  <c r="AE26" i="148" s="1"/>
  <c r="AE78" i="148" s="1"/>
  <c r="AG24" i="148"/>
  <c r="AG26" i="148"/>
  <c r="AG78" i="148"/>
  <c r="AE35" i="148"/>
  <c r="AM13" i="6"/>
  <c r="AG35" i="148"/>
  <c r="AD42" i="148"/>
  <c r="AL37" i="6"/>
  <c r="AD49" i="148"/>
  <c r="AF42" i="148"/>
  <c r="AN37" i="6"/>
  <c r="AH42" i="148"/>
  <c r="AH49" i="148"/>
  <c r="AP37" i="6"/>
  <c r="AB76" i="148"/>
  <c r="AA76" i="148"/>
  <c r="Z76" i="148"/>
  <c r="Y76" i="148"/>
  <c r="X76" i="148"/>
  <c r="W76" i="148"/>
  <c r="V76" i="148"/>
  <c r="W14" i="148"/>
  <c r="Y14" i="148"/>
  <c r="AA14" i="148"/>
  <c r="AA26" i="148"/>
  <c r="AA78" i="148" s="1"/>
  <c r="AC14" i="148"/>
  <c r="W24" i="148"/>
  <c r="W26" i="148" s="1"/>
  <c r="W78" i="148" s="1"/>
  <c r="Y24" i="148"/>
  <c r="AA24" i="148"/>
  <c r="AC24" i="148"/>
  <c r="V14" i="148"/>
  <c r="X14" i="148"/>
  <c r="Z14" i="148"/>
  <c r="Z26" i="148" s="1"/>
  <c r="Z78" i="148" s="1"/>
  <c r="AB14" i="148"/>
  <c r="V24" i="148"/>
  <c r="X24" i="148"/>
  <c r="X26" i="148" s="1"/>
  <c r="X78" i="148" s="1"/>
  <c r="Z24" i="148"/>
  <c r="AB24" i="148"/>
  <c r="AB26" i="148"/>
  <c r="AB78" i="148" s="1"/>
  <c r="E76" i="148"/>
  <c r="G76" i="148"/>
  <c r="K76" i="148"/>
  <c r="M76" i="148"/>
  <c r="O76" i="148"/>
  <c r="Q76" i="148"/>
  <c r="S76" i="148"/>
  <c r="U76" i="148"/>
  <c r="D76" i="148"/>
  <c r="F76" i="148"/>
  <c r="H76" i="148"/>
  <c r="J76" i="148"/>
  <c r="L76" i="148"/>
  <c r="N76" i="148"/>
  <c r="P76" i="148"/>
  <c r="R76" i="148"/>
  <c r="T76" i="148"/>
  <c r="E14" i="148"/>
  <c r="E26" i="148"/>
  <c r="G14" i="148"/>
  <c r="K14" i="148"/>
  <c r="M14" i="148"/>
  <c r="O14" i="148"/>
  <c r="Q14" i="148"/>
  <c r="S14" i="148"/>
  <c r="U14" i="148"/>
  <c r="E24" i="148"/>
  <c r="E78" i="148"/>
  <c r="G24" i="148"/>
  <c r="I24" i="148"/>
  <c r="K24" i="148"/>
  <c r="K26" i="148" s="1"/>
  <c r="K78" i="148" s="1"/>
  <c r="M24" i="148"/>
  <c r="O24" i="148"/>
  <c r="O26" i="148" s="1"/>
  <c r="O78" i="148" s="1"/>
  <c r="Q24" i="148"/>
  <c r="S24" i="148"/>
  <c r="S26" i="148" s="1"/>
  <c r="S78" i="148" s="1"/>
  <c r="U24" i="148"/>
  <c r="U26" i="148" s="1"/>
  <c r="U78" i="148" s="1"/>
  <c r="D14" i="148"/>
  <c r="F14" i="148"/>
  <c r="H14" i="148"/>
  <c r="J14" i="148"/>
  <c r="L14" i="148"/>
  <c r="N14" i="148"/>
  <c r="P14" i="148"/>
  <c r="P26" i="148" s="1"/>
  <c r="P78" i="148" s="1"/>
  <c r="R14" i="148"/>
  <c r="T14" i="148"/>
  <c r="D24" i="148"/>
  <c r="F24" i="148"/>
  <c r="F26" i="148"/>
  <c r="F78" i="148"/>
  <c r="H24" i="148"/>
  <c r="J24" i="148"/>
  <c r="L24" i="148"/>
  <c r="L26" i="148" s="1"/>
  <c r="L78" i="148" s="1"/>
  <c r="N24" i="148"/>
  <c r="P24" i="148"/>
  <c r="R24" i="148"/>
  <c r="R26" i="148" s="1"/>
  <c r="R78" i="148" s="1"/>
  <c r="R80" i="148" s="1"/>
  <c r="R82" i="148" s="1"/>
  <c r="T24" i="148"/>
  <c r="T26" i="148" s="1"/>
  <c r="T78" i="148" s="1"/>
  <c r="C24" i="148"/>
  <c r="C26" i="148"/>
  <c r="C78" i="148"/>
  <c r="C80" i="148"/>
  <c r="C42" i="148"/>
  <c r="C14" i="148"/>
  <c r="C39" i="148"/>
  <c r="C49" i="148"/>
  <c r="C51" i="148"/>
  <c r="C79" i="148"/>
  <c r="AG39" i="148"/>
  <c r="AO13" i="6"/>
  <c r="AP13" i="6"/>
  <c r="AR37" i="6"/>
  <c r="AR13" i="6"/>
  <c r="AK37" i="6"/>
  <c r="AG37" i="6"/>
  <c r="AC39" i="148"/>
  <c r="AK13" i="6"/>
  <c r="AG13" i="6"/>
  <c r="W39" i="148"/>
  <c r="AE13" i="6"/>
  <c r="AC37" i="6"/>
  <c r="AC13" i="6"/>
  <c r="Q49" i="148"/>
  <c r="Q51" i="148"/>
  <c r="Q79" i="148" s="1"/>
  <c r="Y37" i="6"/>
  <c r="Y13" i="6"/>
  <c r="W13" i="6"/>
  <c r="U37" i="6"/>
  <c r="U13" i="6"/>
  <c r="I49" i="148"/>
  <c r="Q37" i="6"/>
  <c r="Q13" i="6"/>
  <c r="O37" i="6"/>
  <c r="L37" i="6" s="1"/>
  <c r="O13" i="6"/>
  <c r="L13" i="6" s="1"/>
  <c r="S39" i="148"/>
  <c r="O39" i="148"/>
  <c r="M39" i="148"/>
  <c r="G39" i="148"/>
  <c r="E39" i="148"/>
  <c r="AI49" i="148"/>
  <c r="AQ37" i="6"/>
  <c r="AH39" i="148"/>
  <c r="AD39" i="148"/>
  <c r="AD51" i="148" s="1"/>
  <c r="AD79" i="148" s="1"/>
  <c r="AL13" i="6"/>
  <c r="AJ37" i="6"/>
  <c r="Z49" i="148"/>
  <c r="AH37" i="6"/>
  <c r="AF37" i="6"/>
  <c r="AF56" i="6" s="1"/>
  <c r="V49" i="148"/>
  <c r="AD37" i="6"/>
  <c r="AB39" i="148"/>
  <c r="AJ13" i="6"/>
  <c r="AJ29" i="6" s="1"/>
  <c r="Z39" i="148"/>
  <c r="AH13" i="6"/>
  <c r="AF13" i="6"/>
  <c r="V39" i="148"/>
  <c r="AD13" i="6"/>
  <c r="AB37" i="6"/>
  <c r="AB13" i="6"/>
  <c r="R49" i="148"/>
  <c r="Z37" i="6"/>
  <c r="P49" i="148"/>
  <c r="X37" i="6"/>
  <c r="X13" i="6"/>
  <c r="V37" i="6"/>
  <c r="L49" i="148"/>
  <c r="T37" i="6"/>
  <c r="T13" i="6"/>
  <c r="J49" i="148"/>
  <c r="R37" i="6"/>
  <c r="H49" i="148"/>
  <c r="H51" i="148" s="1"/>
  <c r="H79" i="148" s="1"/>
  <c r="F49" i="148"/>
  <c r="F51" i="148"/>
  <c r="F79" i="148"/>
  <c r="D49" i="148"/>
  <c r="D51" i="148"/>
  <c r="D79" i="148"/>
  <c r="T39" i="148"/>
  <c r="R39" i="148"/>
  <c r="Z13" i="6"/>
  <c r="P39" i="148"/>
  <c r="N39" i="148"/>
  <c r="V13" i="6"/>
  <c r="L39" i="148"/>
  <c r="L51" i="148" s="1"/>
  <c r="L79" i="148" s="1"/>
  <c r="J39" i="148"/>
  <c r="J51" i="148" s="1"/>
  <c r="J79" i="148" s="1"/>
  <c r="R13" i="6"/>
  <c r="H39" i="148"/>
  <c r="F39" i="148"/>
  <c r="D39" i="148"/>
  <c r="AC26" i="148"/>
  <c r="AC78" i="148" s="1"/>
  <c r="D26" i="148"/>
  <c r="D78" i="148"/>
  <c r="D80" i="148"/>
  <c r="D82" i="148"/>
  <c r="V26" i="148"/>
  <c r="V78" i="148" s="1"/>
  <c r="J26" i="148"/>
  <c r="J78" i="148"/>
  <c r="J80" i="148" s="1"/>
  <c r="J82" i="148" s="1"/>
  <c r="C64" i="148"/>
  <c r="C76" i="148"/>
  <c r="C74" i="148"/>
  <c r="Z51" i="148"/>
  <c r="Z79" i="148" s="1"/>
  <c r="D8" i="129"/>
  <c r="C19" i="129"/>
  <c r="K33" i="35"/>
  <c r="C28" i="129"/>
  <c r="C31" i="129"/>
  <c r="I60" i="51"/>
  <c r="E26" i="33"/>
  <c r="E36" i="66" s="1"/>
  <c r="I41" i="87"/>
  <c r="I20" i="18"/>
  <c r="E16" i="46"/>
  <c r="E57" i="66" s="1"/>
  <c r="E26" i="22"/>
  <c r="C9" i="129"/>
  <c r="D54" i="129"/>
  <c r="E8" i="129"/>
  <c r="E18" i="129"/>
  <c r="L23" i="77"/>
  <c r="F80" i="26"/>
  <c r="K19" i="13"/>
  <c r="L38" i="66"/>
  <c r="D20" i="129"/>
  <c r="W29" i="51"/>
  <c r="Q206" i="66"/>
  <c r="AC49" i="148"/>
  <c r="AE49" i="148"/>
  <c r="AG49" i="148"/>
  <c r="AG51" i="148"/>
  <c r="AG79" i="148"/>
  <c r="AG80" i="148"/>
  <c r="AG82" i="148"/>
  <c r="J125" i="141"/>
  <c r="B105" i="141"/>
  <c r="F104" i="141"/>
  <c r="J104" i="141"/>
  <c r="J105" i="141"/>
  <c r="K69" i="43"/>
  <c r="K83" i="43"/>
  <c r="D50" i="137" s="1"/>
  <c r="K61" i="11"/>
  <c r="D104" i="137" s="1"/>
  <c r="K58" i="11"/>
  <c r="D101" i="137" s="1"/>
  <c r="M65" i="43"/>
  <c r="J124" i="141"/>
  <c r="F124" i="141"/>
  <c r="H125" i="141"/>
  <c r="D125" i="141"/>
  <c r="K57" i="11"/>
  <c r="D100" i="137" s="1"/>
  <c r="K59" i="11"/>
  <c r="D102" i="137" s="1"/>
  <c r="K37" i="60"/>
  <c r="D56" i="137" s="1"/>
  <c r="K47" i="34"/>
  <c r="D14" i="137" s="1"/>
  <c r="K125" i="141"/>
  <c r="D143" i="141"/>
  <c r="E105" i="141"/>
  <c r="E104" i="141"/>
  <c r="K32" i="9"/>
  <c r="D92" i="137" s="1"/>
  <c r="K144" i="141"/>
  <c r="L10" i="8"/>
  <c r="K52" i="11"/>
  <c r="D96" i="137" s="1"/>
  <c r="E125" i="141"/>
  <c r="E19" i="13"/>
  <c r="L86" i="66"/>
  <c r="Q19" i="66"/>
  <c r="Q23" i="66" s="1"/>
  <c r="Q212" i="66" s="1"/>
  <c r="C21" i="143"/>
  <c r="C65" i="143" s="1"/>
  <c r="F80" i="148"/>
  <c r="F82" i="148"/>
  <c r="AF39" i="148"/>
  <c r="AA39" i="148"/>
  <c r="AA51" i="148"/>
  <c r="AA79" i="148" s="1"/>
  <c r="AF49" i="148"/>
  <c r="AF51" i="148" s="1"/>
  <c r="AF79" i="148" s="1"/>
  <c r="AF80" i="148" s="1"/>
  <c r="AF82" i="148" s="1"/>
  <c r="E143" i="141"/>
  <c r="K143" i="141"/>
  <c r="K39" i="60"/>
  <c r="D58" i="137" s="1"/>
  <c r="K43" i="24"/>
  <c r="L9" i="24" s="1"/>
  <c r="M11" i="33"/>
  <c r="E42" i="11"/>
  <c r="E84" i="66" s="1"/>
  <c r="K84" i="15"/>
  <c r="D81" i="137" s="1"/>
  <c r="K87" i="15"/>
  <c r="D84" i="137" s="1"/>
  <c r="D25" i="129"/>
  <c r="K36" i="30"/>
  <c r="G126" i="141"/>
  <c r="G97" i="141"/>
  <c r="G106" i="141"/>
  <c r="K46" i="8"/>
  <c r="L11" i="8" s="1"/>
  <c r="K48" i="34"/>
  <c r="D15" i="137" s="1"/>
  <c r="K36" i="49"/>
  <c r="L10" i="49" s="1"/>
  <c r="K40" i="60"/>
  <c r="D59" i="137" s="1"/>
  <c r="K60" i="11"/>
  <c r="D103" i="137" s="1"/>
  <c r="K47" i="35"/>
  <c r="K54" i="11"/>
  <c r="D97" i="137" s="1"/>
  <c r="B98" i="141"/>
  <c r="H126" i="141"/>
  <c r="H97" i="141"/>
  <c r="H106" i="141"/>
  <c r="K45" i="35"/>
  <c r="D20" i="137" s="1"/>
  <c r="K42" i="44"/>
  <c r="G96" i="141"/>
  <c r="G105" i="141"/>
  <c r="G124" i="141"/>
  <c r="G125" i="141"/>
  <c r="C92" i="141"/>
  <c r="B124" i="141"/>
  <c r="F125" i="141"/>
  <c r="I116" i="141"/>
  <c r="E97" i="141"/>
  <c r="K126" i="141"/>
  <c r="K97" i="141"/>
  <c r="D62" i="137"/>
  <c r="H124" i="141"/>
  <c r="H96" i="141"/>
  <c r="H93" i="141"/>
  <c r="D26" i="137"/>
  <c r="K43" i="30"/>
  <c r="K95" i="141"/>
  <c r="F97" i="141"/>
  <c r="C116" i="141"/>
  <c r="I126" i="141"/>
  <c r="I97" i="141"/>
  <c r="I106" i="141"/>
  <c r="K98" i="141"/>
  <c r="D114" i="137"/>
  <c r="D124" i="141"/>
  <c r="D96" i="141"/>
  <c r="E91" i="141"/>
  <c r="K55" i="11"/>
  <c r="D98" i="137" s="1"/>
  <c r="K91" i="141"/>
  <c r="F95" i="141"/>
  <c r="K36" i="60"/>
  <c r="K124" i="141"/>
  <c r="K96" i="141"/>
  <c r="J126" i="141"/>
  <c r="J97" i="141"/>
  <c r="I98" i="141"/>
  <c r="D66" i="137"/>
  <c r="K41" i="34"/>
  <c r="E31" i="129"/>
  <c r="D31" i="129"/>
  <c r="C13" i="129"/>
  <c r="E36" i="30"/>
  <c r="E33" i="66" s="1"/>
  <c r="D26" i="9"/>
  <c r="D78" i="66" s="1"/>
  <c r="I38" i="8"/>
  <c r="E41" i="34"/>
  <c r="E37" i="66" s="1"/>
  <c r="I27" i="49"/>
  <c r="K26" i="9"/>
  <c r="I34" i="44"/>
  <c r="K36" i="38"/>
  <c r="K23" i="149"/>
  <c r="D59" i="129"/>
  <c r="D53" i="129"/>
  <c r="C19" i="13"/>
  <c r="L16" i="46"/>
  <c r="I29" i="129" s="1"/>
  <c r="C16" i="17"/>
  <c r="C54" i="17" s="1"/>
  <c r="C11" i="15"/>
  <c r="I22" i="54"/>
  <c r="I19" i="86"/>
  <c r="I15" i="10"/>
  <c r="L15" i="10"/>
  <c r="I48" i="129" s="1"/>
  <c r="I17" i="7"/>
  <c r="E17" i="7"/>
  <c r="E71" i="66" s="1"/>
  <c r="E34" i="44"/>
  <c r="C23" i="77"/>
  <c r="C42" i="66" s="1"/>
  <c r="C15" i="129"/>
  <c r="E13" i="129"/>
  <c r="D37" i="24"/>
  <c r="D114" i="66" s="1"/>
  <c r="D13" i="23"/>
  <c r="D19" i="23" s="1"/>
  <c r="D10" i="15"/>
  <c r="E33" i="35"/>
  <c r="E22" i="54"/>
  <c r="E66" i="129" s="1"/>
  <c r="C23" i="149"/>
  <c r="D23" i="56"/>
  <c r="E24" i="2"/>
  <c r="E30" i="93"/>
  <c r="E23" i="149"/>
  <c r="M24" i="22"/>
  <c r="D11" i="15"/>
  <c r="D9" i="15"/>
  <c r="M39" i="87"/>
  <c r="M12" i="18"/>
  <c r="D6" i="137"/>
  <c r="M12" i="56"/>
  <c r="E80" i="148"/>
  <c r="E82" i="148"/>
  <c r="AH80" i="148"/>
  <c r="AH82" i="148"/>
  <c r="M22" i="8"/>
  <c r="M19" i="30"/>
  <c r="M17" i="38"/>
  <c r="AE39" i="148"/>
  <c r="AE51" i="148" s="1"/>
  <c r="AE79" i="148" s="1"/>
  <c r="T29" i="6"/>
  <c r="AH51" i="148"/>
  <c r="AH79" i="148"/>
  <c r="AJ49" i="148"/>
  <c r="O51" i="148"/>
  <c r="O79" i="148" s="1"/>
  <c r="AF26" i="148"/>
  <c r="AF78" i="148"/>
  <c r="H26" i="148"/>
  <c r="H78" i="148" s="1"/>
  <c r="AJ39" i="148"/>
  <c r="AR14" i="6"/>
  <c r="R51" i="148"/>
  <c r="R79" i="148"/>
  <c r="C82" i="148"/>
  <c r="AI26" i="148"/>
  <c r="AI78" i="148"/>
  <c r="N49" i="148"/>
  <c r="N51" i="148" s="1"/>
  <c r="N79" i="148" s="1"/>
  <c r="T49" i="148"/>
  <c r="T51" i="148" s="1"/>
  <c r="T79" i="148" s="1"/>
  <c r="AB49" i="148"/>
  <c r="AB51" i="148" s="1"/>
  <c r="AB79" i="148" s="1"/>
  <c r="AI39" i="148"/>
  <c r="AI51" i="148"/>
  <c r="AI79" i="148"/>
  <c r="K39" i="148"/>
  <c r="U39" i="148"/>
  <c r="E49" i="148"/>
  <c r="E51" i="148"/>
  <c r="E79" i="148"/>
  <c r="K49" i="148"/>
  <c r="K51" i="148" s="1"/>
  <c r="K79" i="148" s="1"/>
  <c r="K80" i="148" s="1"/>
  <c r="K82" i="148" s="1"/>
  <c r="W37" i="6"/>
  <c r="C48" i="129"/>
  <c r="K82" i="15"/>
  <c r="K83" i="15"/>
  <c r="D79" i="137" s="1"/>
  <c r="D95" i="137"/>
  <c r="D29" i="137"/>
  <c r="L9" i="49"/>
  <c r="D107" i="137"/>
  <c r="G104" i="141"/>
  <c r="K105" i="141"/>
  <c r="K104" i="141"/>
  <c r="I105" i="141"/>
  <c r="I96" i="141"/>
  <c r="I104" i="141"/>
  <c r="I124" i="141"/>
  <c r="I125" i="141"/>
  <c r="J106" i="141"/>
  <c r="C96" i="141"/>
  <c r="C105" i="141"/>
  <c r="C125" i="141"/>
  <c r="C124" i="141"/>
  <c r="K106" i="141"/>
  <c r="D105" i="141"/>
  <c r="D104" i="141"/>
  <c r="M11" i="9"/>
  <c r="E7" i="129"/>
  <c r="L41" i="87"/>
  <c r="M13" i="24"/>
  <c r="M19" i="60"/>
  <c r="H105" i="141"/>
  <c r="H104" i="141"/>
  <c r="AI80" i="148"/>
  <c r="AI82" i="148"/>
  <c r="L9" i="8"/>
  <c r="D88" i="137"/>
  <c r="D25" i="137"/>
  <c r="D13" i="137"/>
  <c r="D10" i="137"/>
  <c r="L9" i="33"/>
  <c r="C104" i="141"/>
  <c r="M13" i="49"/>
  <c r="M15" i="11"/>
  <c r="M16" i="35"/>
  <c r="M12" i="40"/>
  <c r="M13" i="23"/>
  <c r="M9" i="15"/>
  <c r="M16" i="17"/>
  <c r="Q123" i="66" l="1"/>
  <c r="AJ51" i="148"/>
  <c r="AJ79" i="148" s="1"/>
  <c r="AJ80" i="148"/>
  <c r="AJ82" i="148" s="1"/>
  <c r="I76" i="148"/>
  <c r="L80" i="148"/>
  <c r="L82" i="148" s="1"/>
  <c r="M51" i="148"/>
  <c r="M79" i="148" s="1"/>
  <c r="M26" i="148"/>
  <c r="M78" i="148" s="1"/>
  <c r="M80" i="148" s="1"/>
  <c r="M82" i="148" s="1"/>
  <c r="U41" i="6"/>
  <c r="N26" i="148"/>
  <c r="N78" i="148" s="1"/>
  <c r="N80" i="148" s="1"/>
  <c r="N82" i="148" s="1"/>
  <c r="O80" i="148"/>
  <c r="O82" i="148" s="1"/>
  <c r="P51" i="148"/>
  <c r="P79" i="148" s="1"/>
  <c r="Q26" i="148"/>
  <c r="Q78" i="148" s="1"/>
  <c r="Q80" i="148" s="1"/>
  <c r="Q82" i="148" s="1"/>
  <c r="S49" i="148"/>
  <c r="S51" i="148" s="1"/>
  <c r="S79" i="148" s="1"/>
  <c r="S80" i="148" s="1"/>
  <c r="S82" i="148" s="1"/>
  <c r="U49" i="148"/>
  <c r="U51" i="148" s="1"/>
  <c r="U79" i="148" s="1"/>
  <c r="U80" i="148" s="1"/>
  <c r="U82" i="148" s="1"/>
  <c r="V51" i="148"/>
  <c r="V79" i="148" s="1"/>
  <c r="V80" i="148"/>
  <c r="V82" i="148" s="1"/>
  <c r="AD56" i="6"/>
  <c r="W49" i="148"/>
  <c r="W51" i="148" s="1"/>
  <c r="W79" i="148" s="1"/>
  <c r="W80" i="148" s="1"/>
  <c r="W82" i="148" s="1"/>
  <c r="Y49" i="148"/>
  <c r="Y51" i="148"/>
  <c r="Y79" i="148" s="1"/>
  <c r="Y26" i="148"/>
  <c r="Y78" i="148" s="1"/>
  <c r="AA80" i="148"/>
  <c r="AA82" i="148" s="1"/>
  <c r="AB80" i="148"/>
  <c r="AB82" i="148" s="1"/>
  <c r="AC51" i="148"/>
  <c r="AC79" i="148" s="1"/>
  <c r="AC80" i="148" s="1"/>
  <c r="AC82" i="148" s="1"/>
  <c r="AE80" i="148"/>
  <c r="AE82" i="148" s="1"/>
  <c r="AD80" i="148"/>
  <c r="AD82" i="148" s="1"/>
  <c r="Z80" i="148"/>
  <c r="Z82" i="148" s="1"/>
  <c r="AG15" i="6"/>
  <c r="X39" i="148"/>
  <c r="X51" i="148" s="1"/>
  <c r="X79" i="148" s="1"/>
  <c r="X80" i="148" s="1"/>
  <c r="X82" i="148" s="1"/>
  <c r="AF15" i="6"/>
  <c r="AF15" i="51"/>
  <c r="T80" i="148"/>
  <c r="T82" i="148" s="1"/>
  <c r="P80" i="148"/>
  <c r="P82" i="148" s="1"/>
  <c r="Q15" i="6"/>
  <c r="I39" i="148"/>
  <c r="I51" i="148" s="1"/>
  <c r="I79" i="148" s="1"/>
  <c r="Q29" i="6"/>
  <c r="I14" i="148"/>
  <c r="I26" i="148" s="1"/>
  <c r="I78" i="148" s="1"/>
  <c r="H80" i="148"/>
  <c r="H82" i="148" s="1"/>
  <c r="G51" i="148"/>
  <c r="G79" i="148" s="1"/>
  <c r="G26" i="148"/>
  <c r="G78" i="148" s="1"/>
  <c r="G12" i="2"/>
  <c r="G27" i="2" s="1"/>
  <c r="G80" i="148"/>
  <c r="G82" i="148" s="1"/>
  <c r="L29" i="6"/>
  <c r="I8" i="129"/>
  <c r="L20" i="31"/>
  <c r="M20" i="31" s="1"/>
  <c r="D7" i="137"/>
  <c r="L8" i="30"/>
  <c r="I83" i="129"/>
  <c r="M83" i="129" s="1"/>
  <c r="N83" i="129" s="1"/>
  <c r="L10" i="35"/>
  <c r="L9" i="35"/>
  <c r="L22" i="8"/>
  <c r="K26" i="22"/>
  <c r="M48" i="129"/>
  <c r="N48" i="129" s="1"/>
  <c r="C23" i="56"/>
  <c r="I26" i="60"/>
  <c r="C59" i="143"/>
  <c r="K133" i="66" s="1"/>
  <c r="C30" i="143"/>
  <c r="E36" i="143" s="1"/>
  <c r="C64" i="143"/>
  <c r="L56" i="6"/>
  <c r="L61" i="6" s="1"/>
  <c r="Y29" i="6"/>
  <c r="O26" i="93"/>
  <c r="L25" i="93"/>
  <c r="F101" i="66"/>
  <c r="L29" i="51"/>
  <c r="C68" i="143" s="1"/>
  <c r="L52" i="51"/>
  <c r="C69" i="143" s="1"/>
  <c r="AM52" i="51"/>
  <c r="Y29" i="51"/>
  <c r="AC29" i="51"/>
  <c r="C42" i="11"/>
  <c r="M8" i="129"/>
  <c r="N8" i="129" s="1"/>
  <c r="I34" i="66"/>
  <c r="C41" i="34"/>
  <c r="M13" i="129"/>
  <c r="N13" i="129" s="1"/>
  <c r="C34" i="44"/>
  <c r="C54" i="129"/>
  <c r="C86" i="66"/>
  <c r="C55" i="129"/>
  <c r="C87" i="66"/>
  <c r="C22" i="54"/>
  <c r="C66" i="129" s="1"/>
  <c r="C99" i="66"/>
  <c r="I60" i="66"/>
  <c r="I87" i="66"/>
  <c r="E101" i="66"/>
  <c r="M28" i="129"/>
  <c r="N28" i="129" s="1"/>
  <c r="I56" i="66"/>
  <c r="D9" i="129"/>
  <c r="D35" i="66"/>
  <c r="J54" i="40"/>
  <c r="K54" i="40" s="1"/>
  <c r="D22" i="54"/>
  <c r="D66" i="129" s="1"/>
  <c r="D99" i="66"/>
  <c r="J27" i="18"/>
  <c r="K27" i="18"/>
  <c r="E29" i="129"/>
  <c r="H67" i="129"/>
  <c r="J71" i="11"/>
  <c r="K71" i="11"/>
  <c r="M9" i="129"/>
  <c r="N9" i="129" s="1"/>
  <c r="I35" i="66"/>
  <c r="J39" i="9"/>
  <c r="K39" i="9"/>
  <c r="E10" i="129"/>
  <c r="D28" i="129"/>
  <c r="D56" i="66"/>
  <c r="D55" i="129"/>
  <c r="D87" i="66"/>
  <c r="M54" i="129"/>
  <c r="N54" i="129" s="1"/>
  <c r="I86" i="66"/>
  <c r="E9" i="129"/>
  <c r="E35" i="66"/>
  <c r="E54" i="129"/>
  <c r="E86" i="66"/>
  <c r="J48" i="93"/>
  <c r="K48" i="93" s="1"/>
  <c r="J34" i="22"/>
  <c r="K34" i="22" s="1"/>
  <c r="E28" i="129"/>
  <c r="E56" i="66"/>
  <c r="F21" i="47"/>
  <c r="F58" i="66"/>
  <c r="D20" i="18"/>
  <c r="M32" i="129"/>
  <c r="N32" i="129" s="1"/>
  <c r="D19" i="86"/>
  <c r="D42" i="11"/>
  <c r="D84" i="66" s="1"/>
  <c r="D89" i="66" s="1"/>
  <c r="D43" i="12"/>
  <c r="D81" i="129" s="1"/>
  <c r="AJ56" i="6"/>
  <c r="AJ61" i="6" s="1"/>
  <c r="V29" i="51"/>
  <c r="C43" i="12"/>
  <c r="C81" i="129" s="1"/>
  <c r="C18" i="129"/>
  <c r="AH29" i="6"/>
  <c r="C33" i="35"/>
  <c r="C39" i="66" s="1"/>
  <c r="M25" i="129"/>
  <c r="N25" i="129" s="1"/>
  <c r="E23" i="29"/>
  <c r="D19" i="137"/>
  <c r="D119" i="66"/>
  <c r="C119" i="66"/>
  <c r="E119" i="66"/>
  <c r="F19" i="13"/>
  <c r="F117" i="66"/>
  <c r="F119" i="66" s="1"/>
  <c r="D62" i="129"/>
  <c r="D95" i="66"/>
  <c r="M62" i="129"/>
  <c r="N62" i="129" s="1"/>
  <c r="E62" i="129"/>
  <c r="E95" i="66"/>
  <c r="C70" i="143"/>
  <c r="C36" i="30"/>
  <c r="E27" i="5"/>
  <c r="C38" i="8"/>
  <c r="D55" i="137"/>
  <c r="L8" i="60"/>
  <c r="M66" i="43"/>
  <c r="D34" i="137" s="1"/>
  <c r="L10" i="43"/>
  <c r="I101" i="43" s="1"/>
  <c r="K58" i="43"/>
  <c r="D28" i="43"/>
  <c r="E25" i="129"/>
  <c r="I40" i="66"/>
  <c r="D13" i="129"/>
  <c r="D40" i="66"/>
  <c r="K54" i="17"/>
  <c r="D104" i="129"/>
  <c r="C26" i="22"/>
  <c r="E23" i="56"/>
  <c r="D108" i="137"/>
  <c r="K63" i="11"/>
  <c r="L23" i="29"/>
  <c r="I6" i="129" s="1"/>
  <c r="L9" i="11"/>
  <c r="I68" i="11" s="1"/>
  <c r="I95" i="11" s="1"/>
  <c r="J95" i="11" s="1"/>
  <c r="K95" i="11" s="1"/>
  <c r="AC29" i="6"/>
  <c r="AO29" i="6"/>
  <c r="K37" i="24"/>
  <c r="I37" i="24"/>
  <c r="I95" i="66"/>
  <c r="AA52" i="51"/>
  <c r="T52" i="51"/>
  <c r="F60" i="51"/>
  <c r="F92" i="66" s="1"/>
  <c r="AP52" i="51"/>
  <c r="AN29" i="51"/>
  <c r="AH29" i="51"/>
  <c r="X52" i="51"/>
  <c r="AO29" i="51"/>
  <c r="K42" i="11"/>
  <c r="I71" i="66"/>
  <c r="K20" i="18"/>
  <c r="K19" i="23"/>
  <c r="I19" i="23"/>
  <c r="I119" i="66"/>
  <c r="K19" i="86"/>
  <c r="D33" i="35"/>
  <c r="D12" i="129" s="1"/>
  <c r="K26" i="33"/>
  <c r="D7" i="129"/>
  <c r="D33" i="66"/>
  <c r="D39" i="66"/>
  <c r="C52" i="129"/>
  <c r="C84" i="66"/>
  <c r="D68" i="66"/>
  <c r="D38" i="129"/>
  <c r="E32" i="66"/>
  <c r="E6" i="129"/>
  <c r="E61" i="66"/>
  <c r="E32" i="129"/>
  <c r="E68" i="66"/>
  <c r="E38" i="129"/>
  <c r="E78" i="66"/>
  <c r="E47" i="129"/>
  <c r="E91" i="129"/>
  <c r="E93" i="129" s="1"/>
  <c r="E107" i="66"/>
  <c r="E27" i="129"/>
  <c r="E55" i="66"/>
  <c r="I79" i="66"/>
  <c r="I68" i="66"/>
  <c r="C27" i="129"/>
  <c r="C55" i="66"/>
  <c r="I37" i="66"/>
  <c r="C83" i="129"/>
  <c r="C109" i="66"/>
  <c r="E20" i="129"/>
  <c r="E47" i="66"/>
  <c r="I61" i="66"/>
  <c r="I26" i="9"/>
  <c r="I55" i="66"/>
  <c r="C11" i="129"/>
  <c r="C37" i="66"/>
  <c r="D63" i="137"/>
  <c r="L9" i="44"/>
  <c r="L19" i="44" s="1"/>
  <c r="M19" i="44" s="1"/>
  <c r="I23" i="77"/>
  <c r="I42" i="66" s="1"/>
  <c r="E39" i="129"/>
  <c r="E69" i="66"/>
  <c r="I47" i="66"/>
  <c r="C7" i="129"/>
  <c r="C33" i="66"/>
  <c r="D48" i="129"/>
  <c r="D79" i="66"/>
  <c r="K9" i="129"/>
  <c r="L9" i="129" s="1"/>
  <c r="K62" i="129"/>
  <c r="L62" i="129" s="1"/>
  <c r="E48" i="129"/>
  <c r="E79" i="66"/>
  <c r="I92" i="129"/>
  <c r="M92" i="129" s="1"/>
  <c r="N92" i="129" s="1"/>
  <c r="D11" i="129"/>
  <c r="D37" i="66"/>
  <c r="C21" i="47"/>
  <c r="C30" i="129" s="1"/>
  <c r="C58" i="66"/>
  <c r="K54" i="129"/>
  <c r="L54" i="129" s="1"/>
  <c r="K15" i="129"/>
  <c r="L15" i="129" s="1"/>
  <c r="K49" i="34"/>
  <c r="L8" i="34" s="1"/>
  <c r="E11" i="129"/>
  <c r="AM29" i="51"/>
  <c r="AM60" i="51" s="1"/>
  <c r="P29" i="51"/>
  <c r="D18" i="129"/>
  <c r="D45" i="66"/>
  <c r="C20" i="129"/>
  <c r="C47" i="66"/>
  <c r="E21" i="47"/>
  <c r="E30" i="129" s="1"/>
  <c r="E58" i="66"/>
  <c r="C14" i="129"/>
  <c r="C41" i="66"/>
  <c r="C39" i="129"/>
  <c r="C69" i="66"/>
  <c r="I45" i="66"/>
  <c r="D47" i="129"/>
  <c r="E52" i="129"/>
  <c r="I23" i="149"/>
  <c r="E14" i="129"/>
  <c r="E41" i="66"/>
  <c r="I85" i="66"/>
  <c r="L10" i="11"/>
  <c r="E65" i="129"/>
  <c r="E67" i="129" s="1"/>
  <c r="I33" i="66"/>
  <c r="I36" i="38"/>
  <c r="D6" i="129"/>
  <c r="D32" i="66"/>
  <c r="C16" i="129"/>
  <c r="C43" i="66"/>
  <c r="D21" i="47"/>
  <c r="D30" i="129" s="1"/>
  <c r="D58" i="66"/>
  <c r="D32" i="129"/>
  <c r="D61" i="66"/>
  <c r="D83" i="129"/>
  <c r="D109" i="66"/>
  <c r="I109" i="66"/>
  <c r="E83" i="129"/>
  <c r="E109" i="66"/>
  <c r="G104" i="129"/>
  <c r="I114" i="66"/>
  <c r="D111" i="137"/>
  <c r="C59" i="129"/>
  <c r="C92" i="66"/>
  <c r="I92" i="66"/>
  <c r="N208" i="66"/>
  <c r="N213" i="66" s="1"/>
  <c r="I44" i="66"/>
  <c r="D89" i="137"/>
  <c r="I77" i="66"/>
  <c r="C46" i="129"/>
  <c r="C77" i="66"/>
  <c r="E12" i="129"/>
  <c r="E39" i="66"/>
  <c r="I39" i="66"/>
  <c r="D65" i="129"/>
  <c r="D98" i="66"/>
  <c r="D101" i="66" s="1"/>
  <c r="I98" i="66"/>
  <c r="C65" i="129"/>
  <c r="C98" i="66"/>
  <c r="E17" i="15"/>
  <c r="I17" i="15"/>
  <c r="I55" i="15"/>
  <c r="E58" i="43"/>
  <c r="E52" i="66" s="1"/>
  <c r="D58" i="43"/>
  <c r="D52" i="66" s="1"/>
  <c r="C25" i="129"/>
  <c r="C53" i="66"/>
  <c r="I53" i="66"/>
  <c r="I58" i="43"/>
  <c r="I52" i="66" s="1"/>
  <c r="C26" i="129"/>
  <c r="C54" i="66"/>
  <c r="C55" i="15"/>
  <c r="D55" i="15"/>
  <c r="E55" i="15"/>
  <c r="K17" i="15"/>
  <c r="C17" i="15"/>
  <c r="D16" i="46"/>
  <c r="C27" i="49"/>
  <c r="AN52" i="51"/>
  <c r="AN60" i="51" s="1"/>
  <c r="Q29" i="51"/>
  <c r="C16" i="46"/>
  <c r="E37" i="24"/>
  <c r="O52" i="51"/>
  <c r="I52" i="40"/>
  <c r="I70" i="40" s="1"/>
  <c r="J70" i="40" s="1"/>
  <c r="K70" i="40" s="1"/>
  <c r="I55" i="8"/>
  <c r="I15" i="2"/>
  <c r="D21" i="77"/>
  <c r="F38" i="8"/>
  <c r="F77" i="66" s="1"/>
  <c r="U56" i="6"/>
  <c r="AC56" i="6"/>
  <c r="AC61" i="6" s="1"/>
  <c r="K23" i="29"/>
  <c r="AL29" i="6"/>
  <c r="Q56" i="6"/>
  <c r="Q61" i="6" s="1"/>
  <c r="W29" i="6"/>
  <c r="AE29" i="6"/>
  <c r="D17" i="7"/>
  <c r="D71" i="66" s="1"/>
  <c r="C30" i="93"/>
  <c r="AR29" i="51"/>
  <c r="AO52" i="51"/>
  <c r="AK52" i="51"/>
  <c r="AI52" i="51"/>
  <c r="AE52" i="51"/>
  <c r="AE29" i="51"/>
  <c r="AQ29" i="51"/>
  <c r="AH52" i="51"/>
  <c r="V52" i="51"/>
  <c r="P52" i="51"/>
  <c r="D26" i="60"/>
  <c r="D54" i="66" s="1"/>
  <c r="I20" i="129"/>
  <c r="M20" i="129" s="1"/>
  <c r="N20" i="129" s="1"/>
  <c r="M41" i="87"/>
  <c r="K13" i="129"/>
  <c r="L13" i="129" s="1"/>
  <c r="C27" i="5"/>
  <c r="AG56" i="6"/>
  <c r="D34" i="44"/>
  <c r="M12" i="48"/>
  <c r="I31" i="129"/>
  <c r="M31" i="129" s="1"/>
  <c r="N31" i="129" s="1"/>
  <c r="F26" i="33"/>
  <c r="F36" i="66" s="1"/>
  <c r="F34" i="44"/>
  <c r="F55" i="66" s="1"/>
  <c r="F27" i="49"/>
  <c r="F85" i="66" s="1"/>
  <c r="K48" i="129"/>
  <c r="L48" i="129" s="1"/>
  <c r="I49" i="30"/>
  <c r="I69" i="30" s="1"/>
  <c r="J69" i="30" s="1"/>
  <c r="K69" i="30" s="1"/>
  <c r="L19" i="30"/>
  <c r="K8" i="129"/>
  <c r="L8" i="129" s="1"/>
  <c r="K28" i="129"/>
  <c r="L28" i="129" s="1"/>
  <c r="C26" i="9"/>
  <c r="E54" i="17"/>
  <c r="K32" i="129"/>
  <c r="L32" i="129" s="1"/>
  <c r="F23" i="29"/>
  <c r="F32" i="66" s="1"/>
  <c r="F16" i="46"/>
  <c r="F57" i="66" s="1"/>
  <c r="F20" i="18"/>
  <c r="F68" i="66" s="1"/>
  <c r="D36" i="38"/>
  <c r="L22" i="54"/>
  <c r="E27" i="49"/>
  <c r="K27" i="49"/>
  <c r="K38" i="8"/>
  <c r="K30" i="40"/>
  <c r="I65" i="129"/>
  <c r="M65" i="129" s="1"/>
  <c r="N65" i="129" s="1"/>
  <c r="M20" i="53"/>
  <c r="F74" i="26"/>
  <c r="J74" i="26" s="1"/>
  <c r="Y52" i="51"/>
  <c r="Z52" i="51"/>
  <c r="AR52" i="51"/>
  <c r="AC52" i="51"/>
  <c r="W52" i="51"/>
  <c r="W60" i="51" s="1"/>
  <c r="S29" i="51"/>
  <c r="AP29" i="51"/>
  <c r="AL29" i="51"/>
  <c r="AF52" i="51"/>
  <c r="AD29" i="51"/>
  <c r="AB52" i="51"/>
  <c r="AM56" i="6"/>
  <c r="AQ29" i="6"/>
  <c r="AP56" i="6"/>
  <c r="AO56" i="6"/>
  <c r="AI56" i="6"/>
  <c r="AI29" i="6"/>
  <c r="AG29" i="6"/>
  <c r="J19" i="129"/>
  <c r="I19" i="129"/>
  <c r="M19" i="129" s="1"/>
  <c r="N19" i="129" s="1"/>
  <c r="I18" i="129"/>
  <c r="M18" i="129" s="1"/>
  <c r="N18" i="129" s="1"/>
  <c r="K68" i="43"/>
  <c r="M68" i="43" s="1"/>
  <c r="D36" i="137" s="1"/>
  <c r="K70" i="43"/>
  <c r="M70" i="43" s="1"/>
  <c r="D38" i="137" s="1"/>
  <c r="K75" i="43"/>
  <c r="M75" i="43" s="1"/>
  <c r="D48" i="137" s="1"/>
  <c r="K73" i="43"/>
  <c r="K77" i="43"/>
  <c r="M77" i="43" s="1"/>
  <c r="D49" i="137" s="1"/>
  <c r="K79" i="43"/>
  <c r="M79" i="43" s="1"/>
  <c r="D45" i="137" s="1"/>
  <c r="K78" i="43"/>
  <c r="M78" i="43" s="1"/>
  <c r="D44" i="137" s="1"/>
  <c r="K71" i="43"/>
  <c r="C23" i="29"/>
  <c r="I50" i="30"/>
  <c r="F36" i="30"/>
  <c r="F33" i="66" s="1"/>
  <c r="I36" i="33"/>
  <c r="I26" i="33"/>
  <c r="C26" i="33"/>
  <c r="C36" i="66" s="1"/>
  <c r="D26" i="33"/>
  <c r="I59" i="35"/>
  <c r="F33" i="35"/>
  <c r="F39" i="66" s="1"/>
  <c r="D23" i="149"/>
  <c r="D15" i="129"/>
  <c r="D23" i="77"/>
  <c r="D42" i="66" s="1"/>
  <c r="F23" i="77"/>
  <c r="F42" i="66" s="1"/>
  <c r="I59" i="38"/>
  <c r="F30" i="40"/>
  <c r="F44" i="66" s="1"/>
  <c r="L46" i="66"/>
  <c r="C58" i="43"/>
  <c r="F58" i="43"/>
  <c r="F52" i="66" s="1"/>
  <c r="I51" i="60"/>
  <c r="F26" i="60"/>
  <c r="F54" i="66" s="1"/>
  <c r="I54" i="44"/>
  <c r="K34" i="44"/>
  <c r="F19" i="86"/>
  <c r="F61" i="66" s="1"/>
  <c r="F54" i="17"/>
  <c r="D16" i="17"/>
  <c r="D54" i="17" s="1"/>
  <c r="C19" i="23"/>
  <c r="E19" i="23"/>
  <c r="F19" i="23"/>
  <c r="C20" i="18"/>
  <c r="L18" i="18"/>
  <c r="I31" i="18"/>
  <c r="D26" i="22"/>
  <c r="C17" i="7"/>
  <c r="K17" i="7"/>
  <c r="I56" i="8"/>
  <c r="I79" i="8" s="1"/>
  <c r="J79" i="8" s="1"/>
  <c r="K79" i="8" s="1"/>
  <c r="I54" i="8"/>
  <c r="D38" i="8"/>
  <c r="F26" i="9"/>
  <c r="F78" i="66" s="1"/>
  <c r="D49" i="129"/>
  <c r="F42" i="11"/>
  <c r="F84" i="66" s="1"/>
  <c r="I44" i="49"/>
  <c r="I43" i="49"/>
  <c r="E60" i="51"/>
  <c r="F30" i="93"/>
  <c r="D30" i="93"/>
  <c r="C67" i="26" s="1"/>
  <c r="C37" i="24"/>
  <c r="D12" i="5"/>
  <c r="L27" i="5"/>
  <c r="I91" i="129" s="1"/>
  <c r="M12" i="5"/>
  <c r="M22" i="5"/>
  <c r="D27" i="5"/>
  <c r="K27" i="5"/>
  <c r="C61" i="6"/>
  <c r="D56" i="6"/>
  <c r="AH56" i="6"/>
  <c r="AH61" i="6" s="1"/>
  <c r="O56" i="6"/>
  <c r="AR29" i="6"/>
  <c r="R29" i="6"/>
  <c r="T56" i="6"/>
  <c r="T61" i="6" s="1"/>
  <c r="X56" i="6"/>
  <c r="AB29" i="6"/>
  <c r="AF29" i="6"/>
  <c r="AF61" i="6" s="1"/>
  <c r="AQ56" i="6"/>
  <c r="AQ61" i="6" s="1"/>
  <c r="AK29" i="6"/>
  <c r="AN56" i="6"/>
  <c r="K61" i="6"/>
  <c r="AR56" i="6"/>
  <c r="AP29" i="6"/>
  <c r="AK56" i="6"/>
  <c r="AE56" i="6"/>
  <c r="S56" i="6"/>
  <c r="AA29" i="6"/>
  <c r="U29" i="6"/>
  <c r="AL56" i="6"/>
  <c r="AN29" i="6"/>
  <c r="Z56" i="6"/>
  <c r="AB56" i="6"/>
  <c r="Z29" i="6"/>
  <c r="Y56" i="6"/>
  <c r="Y61" i="6" s="1"/>
  <c r="AA56" i="6"/>
  <c r="S29" i="6"/>
  <c r="AM29" i="6"/>
  <c r="V56" i="6"/>
  <c r="X29" i="6"/>
  <c r="W56" i="6"/>
  <c r="V29" i="6"/>
  <c r="P29" i="6"/>
  <c r="AD29" i="6"/>
  <c r="AD61" i="6" s="1"/>
  <c r="O29" i="6"/>
  <c r="P56" i="6"/>
  <c r="R56" i="6"/>
  <c r="I61" i="6"/>
  <c r="E61" i="6"/>
  <c r="D61" i="6"/>
  <c r="F61" i="6"/>
  <c r="F108" i="66" s="1"/>
  <c r="S206" i="66"/>
  <c r="L11" i="33"/>
  <c r="C67" i="129"/>
  <c r="L13" i="49"/>
  <c r="C8" i="129"/>
  <c r="C10" i="129"/>
  <c r="M14" i="32"/>
  <c r="J9" i="129" s="1"/>
  <c r="M16" i="46"/>
  <c r="Q52" i="51"/>
  <c r="AA29" i="51"/>
  <c r="AA60" i="51" s="1"/>
  <c r="AD52" i="51"/>
  <c r="AF29" i="51"/>
  <c r="M23" i="77"/>
  <c r="I16" i="46"/>
  <c r="M29" i="129" s="1"/>
  <c r="N29" i="129" s="1"/>
  <c r="D26" i="129"/>
  <c r="D17" i="15"/>
  <c r="E24" i="129"/>
  <c r="E33" i="129" s="1"/>
  <c r="AL52" i="51"/>
  <c r="AK29" i="51"/>
  <c r="L14" i="50"/>
  <c r="F41" i="34"/>
  <c r="F37" i="66" s="1"/>
  <c r="M23" i="29"/>
  <c r="J6" i="129" s="1"/>
  <c r="M15" i="10"/>
  <c r="J48" i="129" s="1"/>
  <c r="AG29" i="51"/>
  <c r="C19" i="86"/>
  <c r="C61" i="66" s="1"/>
  <c r="L23" i="149"/>
  <c r="M25" i="5"/>
  <c r="J92" i="129" s="1"/>
  <c r="D30" i="40"/>
  <c r="D44" i="66" s="1"/>
  <c r="L17" i="7"/>
  <c r="I41" i="129" s="1"/>
  <c r="E30" i="40"/>
  <c r="E38" i="8"/>
  <c r="M19" i="86"/>
  <c r="M18" i="41"/>
  <c r="J18" i="129" s="1"/>
  <c r="C30" i="40"/>
  <c r="C44" i="66" s="1"/>
  <c r="I23" i="29"/>
  <c r="F36" i="38"/>
  <c r="F43" i="66" s="1"/>
  <c r="F22" i="54"/>
  <c r="F27" i="5"/>
  <c r="F107" i="66" s="1"/>
  <c r="M18" i="31"/>
  <c r="J8" i="129" s="1"/>
  <c r="K16" i="46"/>
  <c r="E26" i="60"/>
  <c r="F17" i="15"/>
  <c r="F55" i="15"/>
  <c r="L55" i="15"/>
  <c r="K55" i="15"/>
  <c r="I26" i="22"/>
  <c r="K30" i="93"/>
  <c r="I30" i="93"/>
  <c r="I27" i="5"/>
  <c r="H93" i="129" s="1"/>
  <c r="U52" i="51"/>
  <c r="AB29" i="51"/>
  <c r="T29" i="51"/>
  <c r="M117" i="66"/>
  <c r="O29" i="51"/>
  <c r="AJ52" i="51"/>
  <c r="S52" i="51"/>
  <c r="AQ52" i="51"/>
  <c r="AG52" i="51"/>
  <c r="AI29" i="51"/>
  <c r="U29" i="51"/>
  <c r="AJ29" i="51"/>
  <c r="R52" i="51"/>
  <c r="Z29" i="51"/>
  <c r="R29" i="51"/>
  <c r="X29" i="51"/>
  <c r="D75" i="137"/>
  <c r="L9" i="23"/>
  <c r="D33" i="137"/>
  <c r="D77" i="137"/>
  <c r="L26" i="22"/>
  <c r="I39" i="129" s="1"/>
  <c r="D71" i="137"/>
  <c r="L9" i="56"/>
  <c r="E31" i="2"/>
  <c r="R20" i="66"/>
  <c r="R23" i="66" s="1"/>
  <c r="R212" i="66" s="1"/>
  <c r="N15" i="66"/>
  <c r="N9" i="66"/>
  <c r="M18" i="4"/>
  <c r="J83" i="129" s="1"/>
  <c r="E49" i="129"/>
  <c r="P208" i="66"/>
  <c r="P213" i="66" s="1"/>
  <c r="P215" i="66" s="1"/>
  <c r="H80" i="26"/>
  <c r="F43" i="12"/>
  <c r="F106" i="66" s="1"/>
  <c r="D80" i="137"/>
  <c r="K90" i="15"/>
  <c r="I42" i="11"/>
  <c r="H56" i="129" s="1"/>
  <c r="Q208" i="66"/>
  <c r="Q213" i="66" s="1"/>
  <c r="Q215" i="66" s="1"/>
  <c r="R123" i="66"/>
  <c r="R208" i="66" s="1"/>
  <c r="R213" i="66" s="1"/>
  <c r="I13" i="2"/>
  <c r="I12" i="2"/>
  <c r="I11" i="2"/>
  <c r="M15" i="36"/>
  <c r="J13" i="129" s="1"/>
  <c r="K43" i="12"/>
  <c r="K101" i="66"/>
  <c r="K60" i="51"/>
  <c r="K48" i="38"/>
  <c r="L9" i="38" s="1"/>
  <c r="L17" i="38" s="1"/>
  <c r="M131" i="66"/>
  <c r="L131" i="66"/>
  <c r="M69" i="43"/>
  <c r="D37" i="137" s="1"/>
  <c r="L9" i="9"/>
  <c r="F23" i="149"/>
  <c r="F41" i="66" s="1"/>
  <c r="B21" i="133"/>
  <c r="E43" i="12"/>
  <c r="E106" i="66" s="1"/>
  <c r="I43" i="12"/>
  <c r="K61" i="12"/>
  <c r="C101" i="66" l="1"/>
  <c r="L133" i="66"/>
  <c r="M133" i="66" s="1"/>
  <c r="V60" i="51"/>
  <c r="Y80" i="148"/>
  <c r="Y82" i="148" s="1"/>
  <c r="AH60" i="51"/>
  <c r="Y60" i="51"/>
  <c r="I80" i="148"/>
  <c r="I82" i="148" s="1"/>
  <c r="O60" i="51"/>
  <c r="L63" i="6"/>
  <c r="M63" i="6" s="1"/>
  <c r="C12" i="129"/>
  <c r="D67" i="129"/>
  <c r="C17" i="129"/>
  <c r="D52" i="129"/>
  <c r="D56" i="129" s="1"/>
  <c r="AC60" i="51"/>
  <c r="C84" i="143"/>
  <c r="C81" i="143"/>
  <c r="I14" i="129"/>
  <c r="M14" i="129" s="1"/>
  <c r="N14" i="129" s="1"/>
  <c r="M23" i="149"/>
  <c r="J14" i="129" s="1"/>
  <c r="H84" i="129"/>
  <c r="H95" i="129" s="1"/>
  <c r="I54" i="66"/>
  <c r="H21" i="129"/>
  <c r="D41" i="143"/>
  <c r="C31" i="143"/>
  <c r="C40" i="143" s="1"/>
  <c r="C42" i="143" s="1"/>
  <c r="C54" i="143"/>
  <c r="C55" i="143" s="1"/>
  <c r="C49" i="143"/>
  <c r="K134" i="66" s="1"/>
  <c r="M61" i="6"/>
  <c r="F89" i="66"/>
  <c r="L15" i="11"/>
  <c r="L16" i="35"/>
  <c r="AO61" i="6"/>
  <c r="AE61" i="6"/>
  <c r="AN61" i="6"/>
  <c r="AR61" i="6"/>
  <c r="AM61" i="6"/>
  <c r="L26" i="93"/>
  <c r="L30" i="93" s="1"/>
  <c r="I49" i="93"/>
  <c r="L60" i="51"/>
  <c r="L16" i="34"/>
  <c r="C41" i="129"/>
  <c r="C71" i="66"/>
  <c r="J59" i="35"/>
  <c r="K59" i="35" s="1"/>
  <c r="M91" i="129"/>
  <c r="N91" i="129" s="1"/>
  <c r="J54" i="44"/>
  <c r="K54" i="44" s="1"/>
  <c r="J59" i="38"/>
  <c r="K59" i="38"/>
  <c r="H67" i="26"/>
  <c r="D67" i="26"/>
  <c r="M55" i="15"/>
  <c r="AO60" i="51"/>
  <c r="M6" i="129"/>
  <c r="N6" i="129" s="1"/>
  <c r="C68" i="26"/>
  <c r="C75" i="26" s="1"/>
  <c r="C85" i="26" s="1"/>
  <c r="D14" i="66"/>
  <c r="D23" i="66" s="1"/>
  <c r="J43" i="49"/>
  <c r="K43" i="49" s="1"/>
  <c r="J44" i="49"/>
  <c r="K44" i="49" s="1"/>
  <c r="J52" i="40"/>
  <c r="K52" i="40" s="1"/>
  <c r="I66" i="66"/>
  <c r="M39" i="129"/>
  <c r="N39" i="129" s="1"/>
  <c r="J36" i="33"/>
  <c r="K36" i="33" s="1"/>
  <c r="I101" i="66"/>
  <c r="J51" i="60"/>
  <c r="K51" i="60" s="1"/>
  <c r="J68" i="11"/>
  <c r="K68" i="11" s="1"/>
  <c r="Q60" i="51"/>
  <c r="AI61" i="6"/>
  <c r="AL61" i="6"/>
  <c r="T60" i="51"/>
  <c r="P60" i="51"/>
  <c r="AG61" i="6"/>
  <c r="AI60" i="51"/>
  <c r="AB60" i="51"/>
  <c r="AG60" i="51"/>
  <c r="J55" i="8"/>
  <c r="K55" i="8" s="1"/>
  <c r="J54" i="8"/>
  <c r="K54" i="8" s="1"/>
  <c r="J49" i="30"/>
  <c r="K49" i="30" s="1"/>
  <c r="J50" i="30"/>
  <c r="K50" i="30" s="1"/>
  <c r="S60" i="51"/>
  <c r="AP60" i="51"/>
  <c r="AQ60" i="51"/>
  <c r="AK60" i="51"/>
  <c r="X60" i="51"/>
  <c r="K29" i="129"/>
  <c r="L29" i="129" s="1"/>
  <c r="I57" i="66"/>
  <c r="C29" i="129"/>
  <c r="C57" i="66"/>
  <c r="D29" i="129"/>
  <c r="D57" i="66"/>
  <c r="J101" i="43"/>
  <c r="K101" i="43" s="1"/>
  <c r="D24" i="129"/>
  <c r="D33" i="129" s="1"/>
  <c r="M73" i="43"/>
  <c r="D41" i="137" s="1"/>
  <c r="I55" i="129"/>
  <c r="M14" i="50"/>
  <c r="K60" i="15"/>
  <c r="J56" i="8"/>
  <c r="K56" i="8" s="1"/>
  <c r="D60" i="15"/>
  <c r="D66" i="66" s="1"/>
  <c r="I69" i="11"/>
  <c r="I55" i="34"/>
  <c r="I80" i="34" s="1"/>
  <c r="F111" i="66"/>
  <c r="AD60" i="51"/>
  <c r="K92" i="129"/>
  <c r="L92" i="129" s="1"/>
  <c r="I107" i="66"/>
  <c r="M34" i="44"/>
  <c r="E82" i="129"/>
  <c r="E108" i="66"/>
  <c r="E111" i="66" s="1"/>
  <c r="I93" i="129"/>
  <c r="D39" i="129"/>
  <c r="D69" i="66"/>
  <c r="I36" i="66"/>
  <c r="C6" i="129"/>
  <c r="C32" i="66"/>
  <c r="C49" i="66" s="1"/>
  <c r="D27" i="129"/>
  <c r="D55" i="66"/>
  <c r="D17" i="129"/>
  <c r="I32" i="66"/>
  <c r="I108" i="66"/>
  <c r="D91" i="129"/>
  <c r="D93" i="129" s="1"/>
  <c r="D107" i="66"/>
  <c r="D14" i="129"/>
  <c r="D41" i="66"/>
  <c r="K18" i="129"/>
  <c r="L18" i="129" s="1"/>
  <c r="K83" i="129"/>
  <c r="L83" i="129" s="1"/>
  <c r="C47" i="129"/>
  <c r="C49" i="129" s="1"/>
  <c r="C78" i="66"/>
  <c r="C53" i="129"/>
  <c r="C56" i="129" s="1"/>
  <c r="C85" i="66"/>
  <c r="C89" i="66" s="1"/>
  <c r="D82" i="129"/>
  <c r="D84" i="129" s="1"/>
  <c r="D108" i="66"/>
  <c r="C82" i="129"/>
  <c r="C84" i="129" s="1"/>
  <c r="C108" i="66"/>
  <c r="D10" i="129"/>
  <c r="D36" i="66"/>
  <c r="D16" i="129"/>
  <c r="D43" i="66"/>
  <c r="K31" i="129"/>
  <c r="L31" i="129" s="1"/>
  <c r="C91" i="129"/>
  <c r="C93" i="129" s="1"/>
  <c r="C107" i="66"/>
  <c r="K20" i="129"/>
  <c r="L20" i="129" s="1"/>
  <c r="I84" i="66"/>
  <c r="I89" i="66" s="1"/>
  <c r="K39" i="129"/>
  <c r="L39" i="129" s="1"/>
  <c r="I69" i="66"/>
  <c r="C38" i="129"/>
  <c r="C68" i="66"/>
  <c r="K19" i="129"/>
  <c r="L19" i="129" s="1"/>
  <c r="E53" i="129"/>
  <c r="E56" i="129" s="1"/>
  <c r="E85" i="66"/>
  <c r="E89" i="66" s="1"/>
  <c r="I43" i="66"/>
  <c r="I41" i="66"/>
  <c r="I78" i="66"/>
  <c r="I81" i="66" s="1"/>
  <c r="C104" i="129"/>
  <c r="C114" i="66"/>
  <c r="E104" i="129"/>
  <c r="E114" i="66"/>
  <c r="E59" i="129"/>
  <c r="E92" i="66"/>
  <c r="K25" i="129"/>
  <c r="L25" i="129" s="1"/>
  <c r="M71" i="43"/>
  <c r="D39" i="137" s="1"/>
  <c r="F49" i="66"/>
  <c r="E17" i="129"/>
  <c r="E21" i="129" s="1"/>
  <c r="E44" i="66"/>
  <c r="E49" i="66" s="1"/>
  <c r="U61" i="6"/>
  <c r="Z61" i="6"/>
  <c r="R61" i="6"/>
  <c r="D106" i="66"/>
  <c r="I106" i="66"/>
  <c r="C106" i="66"/>
  <c r="F63" i="66"/>
  <c r="D46" i="129"/>
  <c r="D77" i="66"/>
  <c r="E46" i="129"/>
  <c r="E77" i="66"/>
  <c r="I60" i="15"/>
  <c r="E60" i="15"/>
  <c r="E36" i="129" s="1"/>
  <c r="D36" i="129"/>
  <c r="C60" i="15"/>
  <c r="C24" i="129"/>
  <c r="C33" i="129" s="1"/>
  <c r="C52" i="66"/>
  <c r="E26" i="129"/>
  <c r="E54" i="66"/>
  <c r="E63" i="66" s="1"/>
  <c r="AL60" i="51"/>
  <c r="AE60" i="51"/>
  <c r="AR60" i="51"/>
  <c r="I48" i="44"/>
  <c r="I67" i="44" s="1"/>
  <c r="AP61" i="6"/>
  <c r="I38" i="9"/>
  <c r="I52" i="9" s="1"/>
  <c r="J52" i="9" s="1"/>
  <c r="K52" i="9" s="1"/>
  <c r="I56" i="35"/>
  <c r="I77" i="35" s="1"/>
  <c r="J77" i="35" s="1"/>
  <c r="K77" i="35" s="1"/>
  <c r="P61" i="6"/>
  <c r="O61" i="6"/>
  <c r="W61" i="6"/>
  <c r="L13" i="24"/>
  <c r="L37" i="24" s="1"/>
  <c r="I56" i="24"/>
  <c r="I66" i="129"/>
  <c r="M66" i="129" s="1"/>
  <c r="N66" i="129" s="1"/>
  <c r="M22" i="54"/>
  <c r="L19" i="60"/>
  <c r="I46" i="60"/>
  <c r="I61" i="60" s="1"/>
  <c r="J61" i="60" s="1"/>
  <c r="K61" i="60" s="1"/>
  <c r="L60" i="66"/>
  <c r="J31" i="129"/>
  <c r="J20" i="129"/>
  <c r="L47" i="66"/>
  <c r="K93" i="129"/>
  <c r="L93" i="129" s="1"/>
  <c r="J65" i="129"/>
  <c r="L98" i="66"/>
  <c r="K65" i="129"/>
  <c r="L65" i="129" s="1"/>
  <c r="G74" i="26"/>
  <c r="K74" i="26" s="1"/>
  <c r="H74" i="26"/>
  <c r="R215" i="66"/>
  <c r="L57" i="66"/>
  <c r="J29" i="129"/>
  <c r="AK61" i="6"/>
  <c r="Z60" i="51"/>
  <c r="AF60" i="51"/>
  <c r="X61" i="6"/>
  <c r="AB61" i="6"/>
  <c r="M17" i="7"/>
  <c r="J41" i="129" s="1"/>
  <c r="M41" i="129"/>
  <c r="N41" i="129" s="1"/>
  <c r="L61" i="66"/>
  <c r="J32" i="129"/>
  <c r="K72" i="43"/>
  <c r="L36" i="30"/>
  <c r="K33" i="66" s="1"/>
  <c r="L26" i="33"/>
  <c r="I10" i="129" s="1"/>
  <c r="M10" i="129" s="1"/>
  <c r="N10" i="129" s="1"/>
  <c r="L41" i="34"/>
  <c r="I57" i="35"/>
  <c r="I54" i="38"/>
  <c r="I76" i="38" s="1"/>
  <c r="J76" i="38" s="1"/>
  <c r="K76" i="38" s="1"/>
  <c r="L12" i="56"/>
  <c r="L23" i="56" s="1"/>
  <c r="I31" i="56"/>
  <c r="I42" i="56" s="1"/>
  <c r="L13" i="23"/>
  <c r="L19" i="23" s="1"/>
  <c r="I25" i="23"/>
  <c r="I31" i="23" s="1"/>
  <c r="F60" i="15"/>
  <c r="F66" i="66" s="1"/>
  <c r="F73" i="66" s="1"/>
  <c r="L20" i="18"/>
  <c r="J31" i="18"/>
  <c r="K31" i="18" s="1"/>
  <c r="K91" i="15"/>
  <c r="K92" i="15" s="1"/>
  <c r="I33" i="22"/>
  <c r="L38" i="8"/>
  <c r="R60" i="51"/>
  <c r="M27" i="5"/>
  <c r="J91" i="129" s="1"/>
  <c r="J93" i="129" s="1"/>
  <c r="S61" i="6"/>
  <c r="V61" i="6"/>
  <c r="AA61" i="6"/>
  <c r="N23" i="66"/>
  <c r="N212" i="66" s="1"/>
  <c r="N215" i="66" s="1"/>
  <c r="L9" i="17"/>
  <c r="L27" i="49"/>
  <c r="L79" i="66"/>
  <c r="L42" i="66"/>
  <c r="M26" i="22"/>
  <c r="C32" i="129"/>
  <c r="L34" i="66"/>
  <c r="L45" i="66"/>
  <c r="L32" i="66"/>
  <c r="L35" i="66"/>
  <c r="AJ60" i="51"/>
  <c r="C114" i="143"/>
  <c r="U60" i="51"/>
  <c r="L33" i="35"/>
  <c r="F64" i="26"/>
  <c r="G16" i="66" s="1"/>
  <c r="I10" i="2"/>
  <c r="I27" i="2" s="1"/>
  <c r="G24" i="2"/>
  <c r="C32" i="143"/>
  <c r="L40" i="66"/>
  <c r="L11" i="9"/>
  <c r="L26" i="9" s="1"/>
  <c r="L14" i="12"/>
  <c r="I47" i="129" l="1"/>
  <c r="M47" i="129" s="1"/>
  <c r="N47" i="129" s="1"/>
  <c r="K78" i="66"/>
  <c r="I46" i="129"/>
  <c r="K77" i="66"/>
  <c r="I12" i="129"/>
  <c r="M12" i="129" s="1"/>
  <c r="N12" i="129" s="1"/>
  <c r="K39" i="66"/>
  <c r="M41" i="34"/>
  <c r="K37" i="66"/>
  <c r="I38" i="129"/>
  <c r="M38" i="129" s="1"/>
  <c r="N38" i="129" s="1"/>
  <c r="L134" i="66"/>
  <c r="M134" i="66" s="1"/>
  <c r="J31" i="23"/>
  <c r="K31" i="23"/>
  <c r="K42" i="56"/>
  <c r="J42" i="56"/>
  <c r="J67" i="44"/>
  <c r="K67" i="44"/>
  <c r="J80" i="34"/>
  <c r="K80" i="34" s="1"/>
  <c r="I59" i="129"/>
  <c r="L62" i="51"/>
  <c r="M62" i="51" s="1"/>
  <c r="D21" i="129"/>
  <c r="M30" i="93"/>
  <c r="K197" i="66"/>
  <c r="C21" i="129"/>
  <c r="M60" i="51"/>
  <c r="M93" i="129"/>
  <c r="I73" i="66"/>
  <c r="I63" i="66"/>
  <c r="L42" i="11"/>
  <c r="M82" i="129"/>
  <c r="N82" i="129" s="1"/>
  <c r="L9" i="43"/>
  <c r="J49" i="93"/>
  <c r="K49" i="93" s="1"/>
  <c r="J48" i="44"/>
  <c r="K48" i="44" s="1"/>
  <c r="J33" i="22"/>
  <c r="K33" i="22" s="1"/>
  <c r="J31" i="56"/>
  <c r="K31" i="56" s="1"/>
  <c r="J54" i="38"/>
  <c r="K54" i="38" s="1"/>
  <c r="J38" i="9"/>
  <c r="K38" i="9" s="1"/>
  <c r="F81" i="66"/>
  <c r="F103" i="66" s="1"/>
  <c r="F123" i="66" s="1"/>
  <c r="J57" i="35"/>
  <c r="K57" i="35" s="1"/>
  <c r="J25" i="23"/>
  <c r="K25" i="23" s="1"/>
  <c r="J56" i="24"/>
  <c r="K56" i="24" s="1"/>
  <c r="D68" i="26"/>
  <c r="D75" i="26" s="1"/>
  <c r="D85" i="26" s="1"/>
  <c r="E14" i="66"/>
  <c r="E23" i="66" s="1"/>
  <c r="I14" i="66"/>
  <c r="K55" i="129"/>
  <c r="L55" i="129" s="1"/>
  <c r="M55" i="129"/>
  <c r="N55" i="129" s="1"/>
  <c r="D95" i="129"/>
  <c r="C95" i="129"/>
  <c r="C99" i="129" s="1"/>
  <c r="J46" i="60"/>
  <c r="K46" i="60" s="1"/>
  <c r="D111" i="66"/>
  <c r="C63" i="66"/>
  <c r="C111" i="66"/>
  <c r="J69" i="11"/>
  <c r="K69" i="11" s="1"/>
  <c r="J56" i="35"/>
  <c r="K56" i="35" s="1"/>
  <c r="J55" i="34"/>
  <c r="K55" i="34" s="1"/>
  <c r="D63" i="66"/>
  <c r="K91" i="129"/>
  <c r="L91" i="129" s="1"/>
  <c r="J55" i="129"/>
  <c r="L87" i="66"/>
  <c r="D73" i="66"/>
  <c r="A50" i="24"/>
  <c r="F68" i="26"/>
  <c r="D49" i="66"/>
  <c r="L36" i="38"/>
  <c r="K14" i="129"/>
  <c r="L14" i="129" s="1"/>
  <c r="I49" i="66"/>
  <c r="K6" i="129"/>
  <c r="L6" i="129" s="1"/>
  <c r="K12" i="129"/>
  <c r="L12" i="129" s="1"/>
  <c r="K46" i="129"/>
  <c r="L46" i="129" s="1"/>
  <c r="I111" i="66"/>
  <c r="K10" i="129"/>
  <c r="L10" i="129" s="1"/>
  <c r="K41" i="129"/>
  <c r="L41" i="129" s="1"/>
  <c r="K66" i="129"/>
  <c r="L66" i="129" s="1"/>
  <c r="M37" i="24"/>
  <c r="J104" i="129" s="1"/>
  <c r="I104" i="129"/>
  <c r="K104" i="129" s="1"/>
  <c r="L104" i="129" s="1"/>
  <c r="L135" i="66"/>
  <c r="M135" i="66" s="1"/>
  <c r="C107" i="143"/>
  <c r="E66" i="66"/>
  <c r="E73" i="66" s="1"/>
  <c r="C66" i="66"/>
  <c r="C73" i="66" s="1"/>
  <c r="C36" i="129"/>
  <c r="I67" i="129"/>
  <c r="I61" i="17"/>
  <c r="I100" i="17" s="1"/>
  <c r="J100" i="17" s="1"/>
  <c r="K100" i="17" s="1"/>
  <c r="L26" i="60"/>
  <c r="K54" i="66" s="1"/>
  <c r="L99" i="66"/>
  <c r="J66" i="129"/>
  <c r="J67" i="129" s="1"/>
  <c r="I53" i="129"/>
  <c r="M53" i="129" s="1"/>
  <c r="N53" i="129" s="1"/>
  <c r="M27" i="49"/>
  <c r="K47" i="129"/>
  <c r="L47" i="129" s="1"/>
  <c r="M26" i="33"/>
  <c r="J10" i="129" s="1"/>
  <c r="M38" i="8"/>
  <c r="L77" i="66" s="1"/>
  <c r="L71" i="66"/>
  <c r="L69" i="66"/>
  <c r="J39" i="129"/>
  <c r="I11" i="129"/>
  <c r="M11" i="129" s="1"/>
  <c r="N11" i="129" s="1"/>
  <c r="I7" i="129"/>
  <c r="M7" i="129" s="1"/>
  <c r="N7" i="129" s="1"/>
  <c r="M36" i="30"/>
  <c r="M72" i="43"/>
  <c r="M23" i="56"/>
  <c r="M19" i="23"/>
  <c r="M20" i="18"/>
  <c r="L16" i="17"/>
  <c r="L54" i="17" s="1"/>
  <c r="G29" i="2"/>
  <c r="G31" i="2" s="1"/>
  <c r="J14" i="66"/>
  <c r="M14" i="12"/>
  <c r="L107" i="66"/>
  <c r="L9" i="15"/>
  <c r="L17" i="15" s="1"/>
  <c r="K66" i="66" s="1"/>
  <c r="M33" i="35"/>
  <c r="J12" i="129" s="1"/>
  <c r="L41" i="66"/>
  <c r="M26" i="9"/>
  <c r="J47" i="129" s="1"/>
  <c r="J82" i="129"/>
  <c r="L34" i="44"/>
  <c r="C82" i="143"/>
  <c r="C106" i="143"/>
  <c r="I24" i="2"/>
  <c r="K11" i="26" s="1"/>
  <c r="M42" i="11" l="1"/>
  <c r="J52" i="129" s="1"/>
  <c r="K84" i="66"/>
  <c r="K89" i="66" s="1"/>
  <c r="M46" i="129"/>
  <c r="N46" i="129" s="1"/>
  <c r="I49" i="129"/>
  <c r="M49" i="129" s="1"/>
  <c r="N49" i="129" s="1"/>
  <c r="I27" i="129"/>
  <c r="M27" i="129" s="1"/>
  <c r="N27" i="129" s="1"/>
  <c r="K55" i="66"/>
  <c r="I16" i="129"/>
  <c r="M16" i="129" s="1"/>
  <c r="N16" i="129" s="1"/>
  <c r="K43" i="66"/>
  <c r="K38" i="129"/>
  <c r="L38" i="129" s="1"/>
  <c r="L197" i="66"/>
  <c r="K67" i="26"/>
  <c r="K13" i="26"/>
  <c r="M82" i="43"/>
  <c r="D40" i="137"/>
  <c r="B8" i="133"/>
  <c r="K16" i="26"/>
  <c r="K82" i="129"/>
  <c r="L82" i="129" s="1"/>
  <c r="I52" i="129"/>
  <c r="M52" i="129" s="1"/>
  <c r="N52" i="129" s="1"/>
  <c r="D81" i="66"/>
  <c r="D103" i="66" s="1"/>
  <c r="D123" i="66" s="1"/>
  <c r="C81" i="66"/>
  <c r="C103" i="66" s="1"/>
  <c r="C123" i="66" s="1"/>
  <c r="E81" i="66"/>
  <c r="E103" i="66" s="1"/>
  <c r="E123" i="66" s="1"/>
  <c r="M59" i="129"/>
  <c r="N59" i="129" s="1"/>
  <c r="M67" i="129"/>
  <c r="N67" i="129" s="1"/>
  <c r="J61" i="17"/>
  <c r="K61" i="17" s="1"/>
  <c r="L14" i="43"/>
  <c r="J16" i="26"/>
  <c r="M114" i="66"/>
  <c r="A51" i="24"/>
  <c r="J68" i="26"/>
  <c r="M36" i="38"/>
  <c r="J16" i="129" s="1"/>
  <c r="K16" i="129"/>
  <c r="L16" i="129" s="1"/>
  <c r="I103" i="66"/>
  <c r="K67" i="129"/>
  <c r="L67" i="129" s="1"/>
  <c r="K27" i="129"/>
  <c r="L27" i="129" s="1"/>
  <c r="K53" i="129"/>
  <c r="L53" i="129" s="1"/>
  <c r="K11" i="129"/>
  <c r="L11" i="129" s="1"/>
  <c r="L101" i="66"/>
  <c r="K59" i="129"/>
  <c r="L59" i="129" s="1"/>
  <c r="C108" i="143"/>
  <c r="C113" i="143" s="1"/>
  <c r="L60" i="15"/>
  <c r="M17" i="15"/>
  <c r="M206" i="66"/>
  <c r="I26" i="129"/>
  <c r="M26" i="129" s="1"/>
  <c r="N26" i="129" s="1"/>
  <c r="M26" i="60"/>
  <c r="J53" i="129"/>
  <c r="L85" i="66"/>
  <c r="L84" i="66"/>
  <c r="J46" i="129"/>
  <c r="J49" i="129" s="1"/>
  <c r="F8" i="26"/>
  <c r="J59" i="129"/>
  <c r="L92" i="66"/>
  <c r="L36" i="66"/>
  <c r="L68" i="66"/>
  <c r="J38" i="129"/>
  <c r="J11" i="129"/>
  <c r="L37" i="66"/>
  <c r="J7" i="129"/>
  <c r="L33" i="66"/>
  <c r="K7" i="129"/>
  <c r="L7" i="129" s="1"/>
  <c r="I94" i="12"/>
  <c r="I99" i="12" s="1"/>
  <c r="J99" i="12" s="1"/>
  <c r="K99" i="12" s="1"/>
  <c r="I100" i="43"/>
  <c r="M54" i="17"/>
  <c r="K206" i="66"/>
  <c r="L39" i="66"/>
  <c r="L78" i="66"/>
  <c r="I29" i="2"/>
  <c r="I31" i="2" s="1"/>
  <c r="K81" i="66"/>
  <c r="K49" i="129" l="1"/>
  <c r="L49" i="129" s="1"/>
  <c r="C92" i="143"/>
  <c r="I36" i="129"/>
  <c r="M36" i="129" s="1"/>
  <c r="N36" i="129" s="1"/>
  <c r="L62" i="15"/>
  <c r="M62" i="15" s="1"/>
  <c r="L81" i="66"/>
  <c r="K14" i="66"/>
  <c r="K68" i="26"/>
  <c r="K52" i="129"/>
  <c r="L52" i="129" s="1"/>
  <c r="K6" i="66"/>
  <c r="B7" i="133"/>
  <c r="J6" i="66"/>
  <c r="I56" i="129"/>
  <c r="M56" i="129" s="1"/>
  <c r="N56" i="129" s="1"/>
  <c r="L43" i="66"/>
  <c r="I123" i="66"/>
  <c r="I208" i="66" s="1"/>
  <c r="I213" i="66" s="1"/>
  <c r="J100" i="43"/>
  <c r="K100" i="43" s="1"/>
  <c r="K26" i="129"/>
  <c r="L26" i="129" s="1"/>
  <c r="C109" i="143"/>
  <c r="L66" i="66"/>
  <c r="M60" i="15"/>
  <c r="J36" i="129" s="1"/>
  <c r="L41" i="12"/>
  <c r="L54" i="66"/>
  <c r="J26" i="129"/>
  <c r="J56" i="129"/>
  <c r="L89" i="66"/>
  <c r="F9" i="26"/>
  <c r="F13" i="26" s="1"/>
  <c r="F16" i="26" s="1"/>
  <c r="L55" i="66"/>
  <c r="J27" i="129"/>
  <c r="L28" i="43"/>
  <c r="I105" i="43"/>
  <c r="I144" i="43" s="1"/>
  <c r="J144" i="43" s="1"/>
  <c r="K144" i="43" s="1"/>
  <c r="O197" i="66"/>
  <c r="O206" i="66" s="1"/>
  <c r="O208" i="66" s="1"/>
  <c r="O213" i="66" s="1"/>
  <c r="L206" i="66"/>
  <c r="K73" i="66"/>
  <c r="C115" i="143"/>
  <c r="C116" i="143" s="1"/>
  <c r="H13" i="26"/>
  <c r="H16" i="26" s="1"/>
  <c r="L14" i="66" l="1"/>
  <c r="L6" i="66"/>
  <c r="K56" i="129"/>
  <c r="L56" i="129" s="1"/>
  <c r="I6" i="66"/>
  <c r="J105" i="43"/>
  <c r="K105" i="43" s="1"/>
  <c r="F23" i="66"/>
  <c r="G6" i="66"/>
  <c r="G23" i="66" s="1"/>
  <c r="M28" i="43"/>
  <c r="L58" i="43"/>
  <c r="K52" i="66" s="1"/>
  <c r="F75" i="26"/>
  <c r="F85" i="26" s="1"/>
  <c r="K36" i="129"/>
  <c r="L36" i="129" s="1"/>
  <c r="I42" i="129"/>
  <c r="L73" i="66"/>
  <c r="J42" i="129"/>
  <c r="L43" i="12"/>
  <c r="M41" i="12"/>
  <c r="M43" i="12" s="1"/>
  <c r="J81" i="129" s="1"/>
  <c r="J84" i="129" s="1"/>
  <c r="J95" i="129" s="1"/>
  <c r="O14" i="66"/>
  <c r="B9" i="133"/>
  <c r="K106" i="66" l="1"/>
  <c r="K111" i="66" s="1"/>
  <c r="L66" i="6"/>
  <c r="O23" i="66"/>
  <c r="O212" i="66" s="1"/>
  <c r="O215" i="66" s="1"/>
  <c r="M42" i="129"/>
  <c r="N42" i="129" s="1"/>
  <c r="J94" i="12"/>
  <c r="K94" i="12" s="1"/>
  <c r="K42" i="129"/>
  <c r="L42" i="129" s="1"/>
  <c r="I81" i="129"/>
  <c r="E81" i="129"/>
  <c r="E84" i="129" s="1"/>
  <c r="E95" i="129" s="1"/>
  <c r="J95" i="43"/>
  <c r="K52" i="26" s="1"/>
  <c r="K47" i="26" s="1"/>
  <c r="K49" i="26" s="1"/>
  <c r="K75" i="26" s="1"/>
  <c r="H68" i="26"/>
  <c r="I24" i="129"/>
  <c r="M58" i="43"/>
  <c r="L52" i="66" s="1"/>
  <c r="L106" i="66"/>
  <c r="M24" i="129" l="1"/>
  <c r="I33" i="129"/>
  <c r="B13" i="133"/>
  <c r="K55" i="26"/>
  <c r="L63" i="66"/>
  <c r="K63" i="66"/>
  <c r="K81" i="129"/>
  <c r="L81" i="129" s="1"/>
  <c r="M81" i="129"/>
  <c r="L111" i="66"/>
  <c r="I84" i="129"/>
  <c r="I95" i="129" s="1"/>
  <c r="M95" i="129" s="1"/>
  <c r="N95" i="129" s="1"/>
  <c r="J24" i="129"/>
  <c r="J33" i="129" s="1"/>
  <c r="K24" i="129"/>
  <c r="L24" i="129" s="1"/>
  <c r="C100" i="129"/>
  <c r="M6" i="66"/>
  <c r="N24" i="129" l="1"/>
  <c r="M33" i="129"/>
  <c r="K8" i="66"/>
  <c r="C94" i="143"/>
  <c r="N81" i="129"/>
  <c r="M84" i="129"/>
  <c r="J47" i="26"/>
  <c r="S111" i="66"/>
  <c r="K84" i="129"/>
  <c r="L84" i="129" s="1"/>
  <c r="H49" i="26"/>
  <c r="H55" i="26" s="1"/>
  <c r="K95" i="129"/>
  <c r="L95" i="129" s="1"/>
  <c r="S123" i="66" l="1"/>
  <c r="S208" i="66" s="1"/>
  <c r="S213" i="66" s="1"/>
  <c r="J49" i="26"/>
  <c r="J75" i="26" s="1"/>
  <c r="B17" i="133"/>
  <c r="B20" i="133" s="1"/>
  <c r="B22" i="133" s="1"/>
  <c r="L13" i="13" s="1"/>
  <c r="I8" i="66"/>
  <c r="C22" i="133"/>
  <c r="C25" i="133" s="1"/>
  <c r="C26" i="133" s="1"/>
  <c r="C28" i="133" s="1"/>
  <c r="H75" i="26"/>
  <c r="K82" i="26" l="1"/>
  <c r="J55" i="26"/>
  <c r="J8" i="66"/>
  <c r="C95" i="143"/>
  <c r="C101" i="143" s="1"/>
  <c r="D26" i="133"/>
  <c r="B25" i="133" s="1"/>
  <c r="B26" i="133" s="1"/>
  <c r="B28" i="133" s="1"/>
  <c r="H85" i="26"/>
  <c r="G52" i="15"/>
  <c r="G55" i="15" s="1"/>
  <c r="G60" i="15" s="1"/>
  <c r="L8" i="66" l="1"/>
  <c r="I23" i="66"/>
  <c r="I212" i="66" s="1"/>
  <c r="I215" i="66" s="1"/>
  <c r="F36" i="129"/>
  <c r="G66" i="66"/>
  <c r="L14" i="13"/>
  <c r="L19" i="13" l="1"/>
  <c r="K118" i="66"/>
  <c r="L118" i="66" s="1"/>
  <c r="M19" i="13"/>
  <c r="L21" i="13"/>
  <c r="M21" i="13" s="1"/>
  <c r="M8" i="66"/>
  <c r="M23" i="66" s="1"/>
  <c r="M212" i="66" s="1"/>
  <c r="G73" i="66"/>
  <c r="G81" i="66" s="1"/>
  <c r="M14" i="13"/>
  <c r="D27" i="133"/>
  <c r="D28" i="133" s="1"/>
  <c r="G103" i="66" l="1"/>
  <c r="G123" i="66" s="1"/>
  <c r="K119" i="66"/>
  <c r="M118" i="66"/>
  <c r="M119" i="66" s="1"/>
  <c r="L119" i="66"/>
  <c r="L12" i="40" l="1"/>
  <c r="I53" i="40"/>
  <c r="L30" i="40" l="1"/>
  <c r="J53" i="40"/>
  <c r="K53" i="40"/>
  <c r="M30" i="40" l="1"/>
  <c r="K44" i="66"/>
  <c r="I17" i="129"/>
  <c r="M17" i="129" s="1"/>
  <c r="N17" i="129" s="1"/>
  <c r="K49" i="66"/>
  <c r="J17" i="129"/>
  <c r="J21" i="129" s="1"/>
  <c r="L44" i="66"/>
  <c r="K103" i="66" l="1"/>
  <c r="K123" i="66" s="1"/>
  <c r="L49" i="66"/>
  <c r="L103" i="66" s="1"/>
  <c r="L123" i="66" s="1"/>
  <c r="B2" i="66" s="1"/>
  <c r="I21" i="129"/>
  <c r="M21" i="129" s="1"/>
  <c r="N21" i="129" s="1"/>
  <c r="K17" i="129"/>
  <c r="L17" i="129" s="1"/>
  <c r="L65" i="51" l="1"/>
  <c r="L66" i="51"/>
  <c r="K208" i="66"/>
  <c r="K213" i="66" s="1"/>
  <c r="K21" i="129"/>
  <c r="L21" i="129" s="1"/>
  <c r="M103" i="66"/>
  <c r="L208" i="66"/>
  <c r="L213" i="66" s="1"/>
  <c r="M123" i="66" l="1"/>
  <c r="M208" i="66" s="1"/>
  <c r="M213" i="66" s="1"/>
  <c r="M215" i="66" s="1"/>
  <c r="T114" i="66"/>
  <c r="J22" i="66"/>
  <c r="J85" i="26"/>
  <c r="J21" i="66"/>
  <c r="K21" i="66"/>
  <c r="T123" i="66" l="1"/>
  <c r="T208" i="66" s="1"/>
  <c r="T213" i="66" s="1"/>
  <c r="J23" i="66"/>
  <c r="L21" i="66"/>
  <c r="K83" i="26" l="1"/>
  <c r="K85" i="26" s="1"/>
  <c r="J212" i="66"/>
  <c r="J215" i="66" s="1"/>
  <c r="J26" i="66"/>
  <c r="S21" i="66"/>
  <c r="S23" i="66" s="1"/>
  <c r="K22" i="66" l="1"/>
  <c r="K23" i="66"/>
  <c r="L22" i="66"/>
  <c r="S212" i="66"/>
  <c r="S215" i="66" s="1"/>
  <c r="K212" i="66" l="1"/>
  <c r="K215" i="66" s="1"/>
  <c r="K26" i="66"/>
  <c r="T22" i="66"/>
  <c r="T23" i="66" s="1"/>
  <c r="L23" i="66"/>
  <c r="T212" i="66" l="1"/>
  <c r="T215" i="66" s="1"/>
  <c r="L24" i="66"/>
  <c r="L212" i="66"/>
  <c r="L215" i="66" s="1"/>
  <c r="L26" i="66"/>
  <c r="I69" i="129" l="1"/>
  <c r="I71" i="129" s="1"/>
  <c r="N33" i="129"/>
  <c r="H69" i="129"/>
  <c r="H71" i="129" s="1"/>
  <c r="J69" i="129"/>
  <c r="F69" i="129"/>
  <c r="G69" i="129"/>
  <c r="D69" i="129"/>
  <c r="C69" i="129"/>
  <c r="K33" i="129"/>
  <c r="L33" i="129" s="1"/>
  <c r="E69" i="129"/>
  <c r="M71" i="129" l="1"/>
  <c r="N71" i="129" s="1"/>
  <c r="D70" i="129"/>
  <c r="M69" i="129"/>
  <c r="N69" i="129" s="1"/>
  <c r="E70" i="129"/>
</calcChain>
</file>

<file path=xl/sharedStrings.xml><?xml version="1.0" encoding="utf-8"?>
<sst xmlns="http://schemas.openxmlformats.org/spreadsheetml/2006/main" count="6181" uniqueCount="1713">
  <si>
    <t>P/T Wages Forest Warden</t>
  </si>
  <si>
    <t>TREE WARDEN</t>
  </si>
  <si>
    <t>Dept # 299</t>
  </si>
  <si>
    <t>TOTAL TREE WARDEN</t>
  </si>
  <si>
    <t>General Category: General Government</t>
  </si>
  <si>
    <t>UTILITIES</t>
  </si>
  <si>
    <t>Dept # 190</t>
  </si>
  <si>
    <t>Level</t>
  </si>
  <si>
    <t>Services</t>
  </si>
  <si>
    <t>Request</t>
  </si>
  <si>
    <t>5214-193</t>
  </si>
  <si>
    <t>Propane-15 Center St</t>
  </si>
  <si>
    <t>Streetscape Maintenance</t>
  </si>
  <si>
    <t>5214-211</t>
  </si>
  <si>
    <t>P/T Wages Custodial</t>
  </si>
  <si>
    <t>5211-211</t>
  </si>
  <si>
    <t>Electricity - Police Station</t>
  </si>
  <si>
    <t>5231-211</t>
  </si>
  <si>
    <t>Water - Police Station</t>
  </si>
  <si>
    <t>5232-211</t>
  </si>
  <si>
    <t>Sewer - Police Station</t>
  </si>
  <si>
    <t>Patriot Software Contract</t>
  </si>
  <si>
    <t>Website Address Reg/Security Cert</t>
  </si>
  <si>
    <t>Food</t>
  </si>
  <si>
    <t>5211-433</t>
  </si>
  <si>
    <t>5211-652</t>
  </si>
  <si>
    <t>5211-193</t>
  </si>
  <si>
    <t>Electricity - 15 Center St</t>
  </si>
  <si>
    <t>5232-193</t>
  </si>
  <si>
    <t>Sewer - 15 Center St</t>
  </si>
  <si>
    <t>Bulky Waste Removal</t>
  </si>
  <si>
    <t>Public Health Nurse Service</t>
  </si>
  <si>
    <t>Full-Time</t>
  </si>
  <si>
    <t>Hourly</t>
  </si>
  <si>
    <t>Hours</t>
  </si>
  <si>
    <t>S/T Interest Police Station</t>
  </si>
  <si>
    <t>CSO MWPAT #05-22 $957,448</t>
  </si>
  <si>
    <t>CSO MWPAT #05-22A $1,911,052</t>
  </si>
  <si>
    <t>CSO USDA #91-16 $1,024,000</t>
  </si>
  <si>
    <t>CSO MWPAT #05-22 $957,448 Adm</t>
  </si>
  <si>
    <t>CSO MWPAT #05-22A $1,911,052 Adm</t>
  </si>
  <si>
    <t>Actuals</t>
  </si>
  <si>
    <t>MWPAT #94-26 $907,181</t>
  </si>
  <si>
    <t>CSO MWPAT #01-33 $179,059</t>
  </si>
  <si>
    <t>MWPAT #94-26 $907,181 Admn</t>
  </si>
  <si>
    <t>CSO MWPAT #01-33 $179,059 Admn</t>
  </si>
  <si>
    <t>Town Clerk BOR Stipend</t>
  </si>
  <si>
    <t>Wages P/T Temp</t>
  </si>
  <si>
    <t>Employee Assistance Program</t>
  </si>
  <si>
    <t>FRCOG Emerg Communications</t>
  </si>
  <si>
    <t>A</t>
  </si>
  <si>
    <t>B</t>
  </si>
  <si>
    <t>C</t>
  </si>
  <si>
    <t>Incent</t>
  </si>
  <si>
    <t>Shared Telephone Exp</t>
  </si>
  <si>
    <t>Director 17 hrs/wk)</t>
  </si>
  <si>
    <t xml:space="preserve">P/T Wages Temp </t>
  </si>
  <si>
    <t>Out of District Tech Transport</t>
  </si>
  <si>
    <t>Shift Differential incl Beeper Pay 07+</t>
  </si>
  <si>
    <t>TOTAL PUBLIC BLDG UTILITIES</t>
  </si>
  <si>
    <t>5211-422</t>
  </si>
  <si>
    <t>5211-192</t>
  </si>
  <si>
    <t>5213-422</t>
  </si>
  <si>
    <t>5214-652</t>
  </si>
  <si>
    <t>5231-192</t>
  </si>
  <si>
    <t>5231-422</t>
  </si>
  <si>
    <t>5231-433</t>
  </si>
  <si>
    <t>5231-652</t>
  </si>
  <si>
    <t>5232-192</t>
  </si>
  <si>
    <t>5232-422</t>
  </si>
  <si>
    <t>5232-652</t>
  </si>
  <si>
    <t>Electricity- Town Hall</t>
  </si>
  <si>
    <t>Electricity- DPW</t>
  </si>
  <si>
    <t>Electricity-Landfill</t>
  </si>
  <si>
    <t>Electricity-Unity Park</t>
  </si>
  <si>
    <t>Heating Oil-DPW</t>
  </si>
  <si>
    <t>Water-Town Hall</t>
  </si>
  <si>
    <t>Water-DPW</t>
  </si>
  <si>
    <t>FY14</t>
  </si>
  <si>
    <t>TFFD Shift</t>
  </si>
  <si>
    <t>Water-Landfill</t>
  </si>
  <si>
    <t>Water-Unity Park</t>
  </si>
  <si>
    <t>Sewer-Town Hall</t>
  </si>
  <si>
    <t>Sewer-Unity Park</t>
  </si>
  <si>
    <t>Grade/Step</t>
  </si>
  <si>
    <t xml:space="preserve">F/T Wages OT </t>
  </si>
  <si>
    <t>CONSTRUCTION/MAINTENANCE</t>
  </si>
  <si>
    <t>Dept # 491</t>
  </si>
  <si>
    <t>Software Program Support</t>
  </si>
  <si>
    <t>Poster Distribution</t>
  </si>
  <si>
    <t>Office Supplies-Tags/Licenses</t>
  </si>
  <si>
    <t>Landfill Monitoring</t>
  </si>
  <si>
    <t>REQUEST</t>
  </si>
  <si>
    <t>Colle RRA</t>
  </si>
  <si>
    <t>Receipts Res for Approp</t>
  </si>
  <si>
    <t>GRAND TOTAL GENERAL FUND</t>
  </si>
  <si>
    <t xml:space="preserve">Part Time Temp Wages </t>
  </si>
  <si>
    <t>Part Time Temp Wages</t>
  </si>
  <si>
    <t>1st Registrar</t>
  </si>
  <si>
    <t>2nd Registrar</t>
  </si>
  <si>
    <t>3rd Registrar</t>
  </si>
  <si>
    <t>Annual</t>
  </si>
  <si>
    <t>Director of Assessing</t>
  </si>
  <si>
    <t>P/T Salaries - EM Director</t>
  </si>
  <si>
    <t>From BOA Schedule DE-1, Debt Exclusion Form</t>
  </si>
  <si>
    <t>Ballot Date/Purpose</t>
  </si>
  <si>
    <t>Date Issued</t>
  </si>
  <si>
    <t>T/P</t>
  </si>
  <si>
    <t>Debt Expended</t>
  </si>
  <si>
    <t>Reimb/</t>
  </si>
  <si>
    <t>SOURCES</t>
  </si>
  <si>
    <t>NET LEVY</t>
  </si>
  <si>
    <t>STATE AID (NET OF CHARGES)</t>
  </si>
  <si>
    <t>LOCAL RECEIPTS</t>
  </si>
  <si>
    <t>FREE CASH</t>
  </si>
  <si>
    <t>OTHER AVAILABLE FUNDS</t>
  </si>
  <si>
    <t>TOTAL ESTIMATED SOURCES</t>
  </si>
  <si>
    <t>TOTAL ESTIMATED USES</t>
  </si>
  <si>
    <t>SUMMARY</t>
  </si>
  <si>
    <t>ESTIMATED SHORTFALL</t>
  </si>
  <si>
    <t>Prior Year Limit</t>
  </si>
  <si>
    <t>Pool Expenses - GMRSD</t>
  </si>
  <si>
    <t>Actual</t>
  </si>
  <si>
    <t>EXPENDITURES</t>
  </si>
  <si>
    <t>Elected Officials</t>
  </si>
  <si>
    <t>TOTAL PERSONAL SERVICES</t>
  </si>
  <si>
    <t>Custodial Services</t>
  </si>
  <si>
    <t>Other Professional &amp; Technical</t>
  </si>
  <si>
    <t>In-State Travel</t>
  </si>
  <si>
    <t>Dues and Memberships</t>
  </si>
  <si>
    <t>Other Equipment</t>
  </si>
  <si>
    <t>TOTAL CAPITAL OUTLAY</t>
  </si>
  <si>
    <t>TOTAL</t>
  </si>
  <si>
    <t>Office Equipment R &amp; M</t>
  </si>
  <si>
    <t>Seminars</t>
  </si>
  <si>
    <t>Other Professional/Technical</t>
  </si>
  <si>
    <t>Telephone</t>
  </si>
  <si>
    <t>Postage</t>
  </si>
  <si>
    <t>Advertising</t>
  </si>
  <si>
    <t>Office Supplies</t>
  </si>
  <si>
    <t>Other Supplies</t>
  </si>
  <si>
    <t>Subscriptions/Books</t>
  </si>
  <si>
    <t>Dues &amp; Memberships</t>
  </si>
  <si>
    <t>Printing/Bookbinding</t>
  </si>
  <si>
    <t>Reserve Fund</t>
  </si>
  <si>
    <t>Computer R &amp; M</t>
  </si>
  <si>
    <t>Legal</t>
  </si>
  <si>
    <t>Registry of Deeds</t>
  </si>
  <si>
    <t>Postage Meter Rental</t>
  </si>
  <si>
    <t>Insurance</t>
  </si>
  <si>
    <t>Tax Title Foreclosure</t>
  </si>
  <si>
    <t>Labor Negotiations</t>
  </si>
  <si>
    <t>Longevity</t>
  </si>
  <si>
    <t>Updating Maps</t>
  </si>
  <si>
    <t>F/T Wages</t>
  </si>
  <si>
    <t>P/T Wages</t>
  </si>
  <si>
    <t>F/T Wages O/T</t>
  </si>
  <si>
    <t>Court Time</t>
  </si>
  <si>
    <t>Educational Incentive Pay</t>
  </si>
  <si>
    <t>Shift Differential</t>
  </si>
  <si>
    <t>Paid Holidays</t>
  </si>
  <si>
    <t>Training</t>
  </si>
  <si>
    <t>Other Equipment R &amp; M</t>
  </si>
  <si>
    <t>Meals For Prisoners</t>
  </si>
  <si>
    <t>Dry Cleaning</t>
  </si>
  <si>
    <t>Gasoline</t>
  </si>
  <si>
    <t>Medical Supplies</t>
  </si>
  <si>
    <t>Drug Investigation</t>
  </si>
  <si>
    <t>Uniforms/Clothing</t>
  </si>
  <si>
    <t>P/T Wages Building Inspector</t>
  </si>
  <si>
    <t>P/T Wages Gas Inspector</t>
  </si>
  <si>
    <t>FC</t>
  </si>
  <si>
    <t>FC Recommend</t>
  </si>
  <si>
    <t>Medicare part D Reimb</t>
  </si>
  <si>
    <t>P/T Wages Plumbing Inspector</t>
  </si>
  <si>
    <t>Total Debt</t>
  </si>
  <si>
    <t>P/T Wages Electrical Inspector</t>
  </si>
  <si>
    <t>Miscellaneous</t>
  </si>
  <si>
    <t>Vehicles R &amp; M</t>
  </si>
  <si>
    <t>Medical - Vet</t>
  </si>
  <si>
    <t>P/T Wages Temp</t>
  </si>
  <si>
    <t>Franklin Cty Tech School</t>
  </si>
  <si>
    <t>TOTAL FRANKLIN TECH</t>
  </si>
  <si>
    <t>5322-003</t>
  </si>
  <si>
    <t>TOTAL GILL-MONTAGUE</t>
  </si>
  <si>
    <t>TOTAL EDUCATION</t>
  </si>
  <si>
    <t>F/T Wages OT</t>
  </si>
  <si>
    <t>Electricity</t>
  </si>
  <si>
    <t>Heating Oil</t>
  </si>
  <si>
    <t>Water</t>
  </si>
  <si>
    <t>Sewer</t>
  </si>
  <si>
    <t>Grounds R &amp; M</t>
  </si>
  <si>
    <t>Buildings R &amp; M</t>
  </si>
  <si>
    <t>HVAC Equip R &amp; M</t>
  </si>
  <si>
    <t>Electrical</t>
  </si>
  <si>
    <t>Hand Tools</t>
  </si>
  <si>
    <t>Misc. Parts &amp; Accessories</t>
  </si>
  <si>
    <t>Cleaning Supplies</t>
  </si>
  <si>
    <t>Groundskeeping Supplies</t>
  </si>
  <si>
    <t>DOT Testing</t>
  </si>
  <si>
    <t>Hoister &amp; Other Licenses</t>
  </si>
  <si>
    <t>Rental/Lease Vehicles</t>
  </si>
  <si>
    <t>Oil &amp; Lubricants</t>
  </si>
  <si>
    <t>Diesel</t>
  </si>
  <si>
    <t>Public Works Supplies</t>
  </si>
  <si>
    <t>Sidewalk Materials</t>
  </si>
  <si>
    <t>Snow Removal Services</t>
  </si>
  <si>
    <t>Salt</t>
  </si>
  <si>
    <t>Sand</t>
  </si>
  <si>
    <t>Trees</t>
  </si>
  <si>
    <t>Solid Waste Removal</t>
  </si>
  <si>
    <t>Recyclables Removal</t>
  </si>
  <si>
    <t>111F Holiday Pay</t>
  </si>
  <si>
    <t>Beacon Lights R &amp; M</t>
  </si>
  <si>
    <t>Miscellaneous Supplies</t>
  </si>
  <si>
    <t>Ordinary Assistance</t>
  </si>
  <si>
    <t>Care &amp; Registration of Graves</t>
  </si>
  <si>
    <t>Burials</t>
  </si>
  <si>
    <t>Recreation Programs</t>
  </si>
  <si>
    <t>PO Box Rental</t>
  </si>
  <si>
    <t>Media</t>
  </si>
  <si>
    <t>Sick Leave Buy Back</t>
  </si>
  <si>
    <t>FSA General Obligation Bond</t>
  </si>
  <si>
    <t>Long Term Principal</t>
  </si>
  <si>
    <t>Long Term Interest</t>
  </si>
  <si>
    <t>752-5925</t>
  </si>
  <si>
    <t>Interest on Short Term Notes</t>
  </si>
  <si>
    <t>Short Term Interest</t>
  </si>
  <si>
    <t>Franklin Regional Council Govts</t>
  </si>
  <si>
    <t>FCSWMD</t>
  </si>
  <si>
    <t>Veterans' District</t>
  </si>
  <si>
    <t>TOTAL INTERGOVERNMENTAL</t>
  </si>
  <si>
    <t xml:space="preserve">Retirement </t>
  </si>
  <si>
    <t>Workers' Compensation</t>
  </si>
  <si>
    <t>Unemployment Compensation</t>
  </si>
  <si>
    <t>Health Insurance</t>
  </si>
  <si>
    <t>Life Insurance</t>
  </si>
  <si>
    <t>Medicare</t>
  </si>
  <si>
    <t>Auto Fleet</t>
  </si>
  <si>
    <t>Boiler &amp; Machinery</t>
  </si>
  <si>
    <t>Liability</t>
  </si>
  <si>
    <t>Public Officials</t>
  </si>
  <si>
    <t xml:space="preserve">Airport </t>
  </si>
  <si>
    <t>AIRPORT USER FEES</t>
  </si>
  <si>
    <t>Electricity TP</t>
  </si>
  <si>
    <t>Electricity PS</t>
  </si>
  <si>
    <t>Solid Waste Disposal</t>
  </si>
  <si>
    <t>Engineering/Architectual</t>
  </si>
  <si>
    <t>Other Repairs</t>
  </si>
  <si>
    <t>Collection System</t>
  </si>
  <si>
    <t>Easements</t>
  </si>
  <si>
    <t>Misc. Parts/Accessories</t>
  </si>
  <si>
    <t>Department</t>
  </si>
  <si>
    <t>General Category</t>
  </si>
  <si>
    <t>General Category : General Government</t>
  </si>
  <si>
    <t>Dept # 113</t>
  </si>
  <si>
    <t>General Category: Public Safety</t>
  </si>
  <si>
    <t>General Category: Public Works</t>
  </si>
  <si>
    <t>General Category: Human Services</t>
  </si>
  <si>
    <t>General Category: Culture &amp; Recreation</t>
  </si>
  <si>
    <t>General Category: Debt Service</t>
  </si>
  <si>
    <t>General Category: Intergovernmental</t>
  </si>
  <si>
    <t>General Category: Miscellaneous</t>
  </si>
  <si>
    <t>Employee Benefits</t>
  </si>
  <si>
    <t>General Category: Public Works - WPCF</t>
  </si>
  <si>
    <t>WPCF</t>
  </si>
  <si>
    <t>HVAC R &amp; M</t>
  </si>
  <si>
    <t>Dues/Memberships</t>
  </si>
  <si>
    <t>NO.</t>
  </si>
  <si>
    <t>GENERAL GOVERNMENT</t>
  </si>
  <si>
    <t>TOWN MEETING</t>
  </si>
  <si>
    <t>TOTAL TOWN MEETING</t>
  </si>
  <si>
    <t>Capital Outlay</t>
  </si>
  <si>
    <t>FINANCE COMMITTEE</t>
  </si>
  <si>
    <t>TOTAL FINANCE COMMITTEE</t>
  </si>
  <si>
    <t>RESERVE FUND</t>
  </si>
  <si>
    <t>TOTAL RESERVE FUND</t>
  </si>
  <si>
    <t>TOWN ACCOUNTANT</t>
  </si>
  <si>
    <t>ASSESSORS</t>
  </si>
  <si>
    <t>TREASURER/COLLECTOR</t>
  </si>
  <si>
    <t>TOTAL TREASURER/COLLECTOR</t>
  </si>
  <si>
    <t>TOWN COUNSEL</t>
  </si>
  <si>
    <t>TOTAL TOWN COUNSEL</t>
  </si>
  <si>
    <t>TOWN CLERK</t>
  </si>
  <si>
    <t>TOTAL TOWN CLERK</t>
  </si>
  <si>
    <t>TOTAL PLANNING</t>
  </si>
  <si>
    <t>ZONING BOARD OF APPEALS</t>
  </si>
  <si>
    <t>Vacation/Sick Leave Buyback</t>
  </si>
  <si>
    <t>TOTAL GENERAL GOVERNMENT</t>
  </si>
  <si>
    <t>PUBLIC SAFETY</t>
  </si>
  <si>
    <t>POLICE</t>
  </si>
  <si>
    <t>BUILDING INSPECTOR</t>
  </si>
  <si>
    <t>TOTAL BUILDING INSPECTOR</t>
  </si>
  <si>
    <t>EMERGENCY MANAGEMENT</t>
  </si>
  <si>
    <t>ANIMAL CONTROL</t>
  </si>
  <si>
    <t>FOREST WARDEN</t>
  </si>
  <si>
    <t>TOTAL PUBLIC SAFETY</t>
  </si>
  <si>
    <t>PUBLIC WORKS</t>
  </si>
  <si>
    <t>SNOW &amp; ICE</t>
  </si>
  <si>
    <t>TOTAL SNOW &amp; ICE</t>
  </si>
  <si>
    <t>CEMETERIES</t>
  </si>
  <si>
    <t>TOTAL PUBLIC WORKS</t>
  </si>
  <si>
    <t>HUMAN SERVICES</t>
  </si>
  <si>
    <t>BOARD OF HEALTH</t>
  </si>
  <si>
    <t>TOTAL BOARD OF HEALTH</t>
  </si>
  <si>
    <t>COUNCIL ON AGING</t>
  </si>
  <si>
    <t>TOTAL COUNCIL ON AGING</t>
  </si>
  <si>
    <t>VETERANS' SERVICES</t>
  </si>
  <si>
    <t>TOTAL HUMAN SERVICES</t>
  </si>
  <si>
    <t>CULTURE &amp; RECREATION</t>
  </si>
  <si>
    <t>LIBRARIES</t>
  </si>
  <si>
    <t>TOTAL LIBRARIES</t>
  </si>
  <si>
    <t>PARKS &amp; RECREATION</t>
  </si>
  <si>
    <t>WAR MEMORIALS</t>
  </si>
  <si>
    <t>TOTAL WAR MEMORIALS</t>
  </si>
  <si>
    <t>TOTAL CULTURE &amp; RECREATION</t>
  </si>
  <si>
    <t>DEBT SERVICE</t>
  </si>
  <si>
    <t>INTERGOVERNMENTAL</t>
  </si>
  <si>
    <t>VETERANS</t>
  </si>
  <si>
    <t>MISCELLANEOUS</t>
  </si>
  <si>
    <t>EMPLOYEE BENEFITS</t>
  </si>
  <si>
    <t>TOTAL EMPLOYEE BENEFITS</t>
  </si>
  <si>
    <t>INSURANCE</t>
  </si>
  <si>
    <t>TOTAL MISCELLANEOUS</t>
  </si>
  <si>
    <t>GRAND TOTAL</t>
  </si>
  <si>
    <t>WATER POLLUTION CONTROL</t>
  </si>
  <si>
    <t>Debt Service</t>
  </si>
  <si>
    <t>TOTAL WPCF</t>
  </si>
  <si>
    <t>EDUCATION</t>
  </si>
  <si>
    <t>FCTS</t>
  </si>
  <si>
    <t>GMRSD</t>
  </si>
  <si>
    <t>Vehicle Parts &amp; Accessories</t>
  </si>
  <si>
    <t>FY13</t>
  </si>
  <si>
    <t>Taxation share</t>
  </si>
  <si>
    <t>FY2013</t>
  </si>
  <si>
    <t>DOH</t>
  </si>
  <si>
    <t>Svc</t>
  </si>
  <si>
    <t>Long</t>
  </si>
  <si>
    <t>N/E</t>
  </si>
  <si>
    <t>1/22/07</t>
  </si>
  <si>
    <t>Increase</t>
  </si>
  <si>
    <t>CSO USDA #92-18 $958,000</t>
  </si>
  <si>
    <t>% incr</t>
  </si>
  <si>
    <t>Historical Commission</t>
  </si>
  <si>
    <t>Dept # 691</t>
  </si>
  <si>
    <t>One-Time State Aid</t>
  </si>
  <si>
    <t>HISTORICAL COMMISSION</t>
  </si>
  <si>
    <t>Natural Gas- Town Hall</t>
  </si>
  <si>
    <t>Natural Gas - Police Station</t>
  </si>
  <si>
    <t>Funding</t>
  </si>
  <si>
    <t>Sewer user Fees</t>
  </si>
  <si>
    <t>WPCF DEBT</t>
  </si>
  <si>
    <t>ACCOUNTANT</t>
  </si>
  <si>
    <t>TREAS/COLLECTOR</t>
  </si>
  <si>
    <t>PLANNER</t>
  </si>
  <si>
    <t>ZBA</t>
  </si>
  <si>
    <t>BUILDING DEPT</t>
  </si>
  <si>
    <t>SEALER OF WEIGHTS</t>
  </si>
  <si>
    <t>EMERGENCY MGMT</t>
  </si>
  <si>
    <t>PUBLIC BUILDINGS</t>
  </si>
  <si>
    <t>PARKS</t>
  </si>
  <si>
    <t>AIRPORT</t>
  </si>
  <si>
    <t>RECREATION</t>
  </si>
  <si>
    <t>DEBT</t>
  </si>
  <si>
    <t>INTERGOVERNMENT</t>
  </si>
  <si>
    <t>WPCF HIGHWAY</t>
  </si>
  <si>
    <t>WPCF BENEFITS</t>
  </si>
  <si>
    <t>Non-Contrib Retirement</t>
  </si>
  <si>
    <t>Tools</t>
  </si>
  <si>
    <t>Building R &amp; M Supplies</t>
  </si>
  <si>
    <t>Computer Software Maintenance</t>
  </si>
  <si>
    <t>Property, Inland Marine, Crime</t>
  </si>
  <si>
    <t>111F Regular Wages</t>
  </si>
  <si>
    <t>111F Incentive Pay</t>
  </si>
  <si>
    <t>Moderator</t>
  </si>
  <si>
    <t>Town Administrator</t>
  </si>
  <si>
    <t>Town Accountant</t>
  </si>
  <si>
    <t>Assistant Town Clerk</t>
  </si>
  <si>
    <t>Town Clerk</t>
  </si>
  <si>
    <t>Building Inspector</t>
  </si>
  <si>
    <t>Custodian</t>
  </si>
  <si>
    <t>Burial Agent</t>
  </si>
  <si>
    <t>Children's Librarian</t>
  </si>
  <si>
    <t>Library Director</t>
  </si>
  <si>
    <t>Software Maintenance</t>
  </si>
  <si>
    <t>COLLE RRA</t>
  </si>
  <si>
    <t>Multi-Purpose 2006</t>
  </si>
  <si>
    <t>2006 Bond Prinicpal</t>
  </si>
  <si>
    <t>2006 Bond Interest</t>
  </si>
  <si>
    <t>WPCF Gen Obligation 2006</t>
  </si>
  <si>
    <t>CSO #16 6/9/05 $1,911,052</t>
  </si>
  <si>
    <t>CSO #16 6/9/05 $1,024,000</t>
  </si>
  <si>
    <t>CSO #16 6/9/05 $958,000</t>
  </si>
  <si>
    <t>CSO #16 6/9/05 $957,448</t>
  </si>
  <si>
    <t>RAISE DEBT SERVICE DEFICIT</t>
  </si>
  <si>
    <t>710-5919</t>
  </si>
  <si>
    <t>751-5919</t>
  </si>
  <si>
    <t>Dept #228-183</t>
  </si>
  <si>
    <t>TOTAL COLLE</t>
  </si>
  <si>
    <t>Tax Levy</t>
  </si>
  <si>
    <t>New Growth</t>
  </si>
  <si>
    <t>Debt Exclusion</t>
  </si>
  <si>
    <t>Veterans' Benefits</t>
  </si>
  <si>
    <t>State Owned Land</t>
  </si>
  <si>
    <t xml:space="preserve">State Aid </t>
  </si>
  <si>
    <t>less offset</t>
  </si>
  <si>
    <t>Subtotal Tax Levy</t>
  </si>
  <si>
    <t>Subtotal Cherry Sheet</t>
  </si>
  <si>
    <t>Net State Revenue</t>
  </si>
  <si>
    <t>Net Levy</t>
  </si>
  <si>
    <t>Local Receipts</t>
  </si>
  <si>
    <t>Motor Vehicle Excise</t>
  </si>
  <si>
    <t>Other Excise</t>
  </si>
  <si>
    <t>PILOT</t>
  </si>
  <si>
    <t>Charges for Trash Disposal</t>
  </si>
  <si>
    <t>Fees</t>
  </si>
  <si>
    <t>Licenses &amp; Permits</t>
  </si>
  <si>
    <t>Fines &amp; Forfeits</t>
  </si>
  <si>
    <t>Investment Income</t>
  </si>
  <si>
    <t>DPW SUBSIDIARY</t>
  </si>
  <si>
    <t>WPCF, AIRPORT, COLLE</t>
  </si>
  <si>
    <t>Miscellaneous Recurring</t>
  </si>
  <si>
    <t>Misc. Non-Recurring</t>
  </si>
  <si>
    <t>Penalties &amp; Interest</t>
  </si>
  <si>
    <t>Available Funds</t>
  </si>
  <si>
    <t>Free Cash</t>
  </si>
  <si>
    <t>Individual Articles</t>
  </si>
  <si>
    <t>Reduce Levy</t>
  </si>
  <si>
    <t>Total Available Funds</t>
  </si>
  <si>
    <t>Total Free Cash</t>
  </si>
  <si>
    <t>P</t>
  </si>
  <si>
    <t>Total</t>
  </si>
  <si>
    <t>Public Libraries</t>
  </si>
  <si>
    <t>Other Charges for Service</t>
  </si>
  <si>
    <t>Other Services</t>
  </si>
  <si>
    <t>DISPATCH</t>
  </si>
  <si>
    <t>TOTAL DISPATCH</t>
  </si>
  <si>
    <t>Fitness Stipend</t>
  </si>
  <si>
    <t>DPW COMBINED</t>
  </si>
  <si>
    <t>Uniform Rental/Ceaning</t>
  </si>
  <si>
    <t>SOLID WASTE</t>
  </si>
  <si>
    <t>Revenues</t>
  </si>
  <si>
    <t>TOTAL EXPENSES</t>
  </si>
  <si>
    <t>TOTAL EXPENSE</t>
  </si>
  <si>
    <t>Treasurer/Collector</t>
  </si>
  <si>
    <t>TOTAL BOARD OF SELECTMEN</t>
  </si>
  <si>
    <t>TOTAL ACCOUNTANT</t>
  </si>
  <si>
    <t>TOTAL BOARD OF ASSESSORS</t>
  </si>
  <si>
    <t>TOTAL ZBA</t>
  </si>
  <si>
    <t>TOTAL SEALER OF WEIGHTS</t>
  </si>
  <si>
    <t>TOTAL EMERGENCY MGMT</t>
  </si>
  <si>
    <t>TOTAL PUBLIC BUILDINGS</t>
  </si>
  <si>
    <t>TOTAL CONSTRUCTION/MAINT</t>
  </si>
  <si>
    <t>Electrical Supplies</t>
  </si>
  <si>
    <t>TOTAL SOLID WASTE</t>
  </si>
  <si>
    <t>TOTAL PARKS</t>
  </si>
  <si>
    <t>TOTAL AIRPORT</t>
  </si>
  <si>
    <t>TOTAL CEMETERY</t>
  </si>
  <si>
    <t>TOTAL DEBT</t>
  </si>
  <si>
    <t>TOTAL GENERAL INSURANCE</t>
  </si>
  <si>
    <t>TOTAL WPCF HWY SUBSIDIARY</t>
  </si>
  <si>
    <t>TOTAL WPCF DEBT</t>
  </si>
  <si>
    <t>TOTAL WPCF BENEFITS</t>
  </si>
  <si>
    <t>BUDGET</t>
  </si>
  <si>
    <t>Less Allowance for A&amp;E</t>
  </si>
  <si>
    <t>Stabilization</t>
  </si>
  <si>
    <t>Professional/Technical</t>
  </si>
  <si>
    <t>Requested</t>
  </si>
  <si>
    <t>Dept # 122</t>
  </si>
  <si>
    <t>Total Special Articles</t>
  </si>
  <si>
    <t>Dept # 131</t>
  </si>
  <si>
    <t>Dept # 132</t>
  </si>
  <si>
    <t>Dept # 135</t>
  </si>
  <si>
    <t>Dept # 141</t>
  </si>
  <si>
    <t>Dept # 145</t>
  </si>
  <si>
    <t>Dept # 151</t>
  </si>
  <si>
    <t>Dept # 161</t>
  </si>
  <si>
    <t>Dept # 175</t>
  </si>
  <si>
    <t>Dept # 176</t>
  </si>
  <si>
    <t>Dept # 211</t>
  </si>
  <si>
    <t>Dept # 241</t>
  </si>
  <si>
    <t>Dept # 244</t>
  </si>
  <si>
    <t>Dept # 482</t>
  </si>
  <si>
    <t>Dept # 292</t>
  </si>
  <si>
    <t>Dept # 294</t>
  </si>
  <si>
    <t>Dept # 300</t>
  </si>
  <si>
    <t>Dept # 420</t>
  </si>
  <si>
    <t>Dept # 192</t>
  </si>
  <si>
    <t>Dept # 422</t>
  </si>
  <si>
    <t>Expended</t>
  </si>
  <si>
    <t>Dept # 423</t>
  </si>
  <si>
    <t>Dept # 433</t>
  </si>
  <si>
    <t>Dept # 511</t>
  </si>
  <si>
    <t>Dept # 541</t>
  </si>
  <si>
    <t>Dept # 543</t>
  </si>
  <si>
    <t>Level Services</t>
  </si>
  <si>
    <t>Dept # 610</t>
  </si>
  <si>
    <t>Dept # 630</t>
  </si>
  <si>
    <t>Dept # 700</t>
  </si>
  <si>
    <t>Dept # 840</t>
  </si>
  <si>
    <t>Dept # 910</t>
  </si>
  <si>
    <t>Dept # 946</t>
  </si>
  <si>
    <t>Dept # 661-440</t>
  </si>
  <si>
    <t>Dept # 661-449</t>
  </si>
  <si>
    <t>Dept # 661-700</t>
  </si>
  <si>
    <t>Dept # 661-910</t>
  </si>
  <si>
    <t>Dept # 291</t>
  </si>
  <si>
    <t>FREE CASH FOR SPECIAL ARTICLES</t>
  </si>
  <si>
    <t>Household Hazardous Waste</t>
  </si>
  <si>
    <t>thru</t>
  </si>
  <si>
    <t>710-5915</t>
  </si>
  <si>
    <t>710-5912</t>
  </si>
  <si>
    <t>751-5915</t>
  </si>
  <si>
    <t>751-5915-100</t>
  </si>
  <si>
    <t>751-5912</t>
  </si>
  <si>
    <t>710-5913</t>
  </si>
  <si>
    <t>751-5913</t>
  </si>
  <si>
    <t xml:space="preserve">F/T Wages </t>
  </si>
  <si>
    <t>WPCF General Obligation Bonds (Excess)</t>
  </si>
  <si>
    <t>$589,000 6-15-03 Multi Article</t>
  </si>
  <si>
    <t>Acquire 46 Greenfield Rd</t>
  </si>
  <si>
    <t>Staffing - Base Wages excluding Overtime/Shift/Holiday</t>
  </si>
  <si>
    <t>Title</t>
  </si>
  <si>
    <t>Estimated</t>
  </si>
  <si>
    <t>WPCF EMPLOYEE BENEFITS</t>
  </si>
  <si>
    <t>2nd Member</t>
  </si>
  <si>
    <t>3rd Member</t>
  </si>
  <si>
    <t>Animal Inspector</t>
  </si>
  <si>
    <t>Recap</t>
  </si>
  <si>
    <t>Travel</t>
  </si>
  <si>
    <t>Custodial Services (16 hrs/wk)</t>
  </si>
  <si>
    <t>SHARED COSTS</t>
  </si>
  <si>
    <t>Copier/Duplicator Lease</t>
  </si>
  <si>
    <t>Copier/Duplicator Supplies</t>
  </si>
  <si>
    <t>Dept #159</t>
  </si>
  <si>
    <t>Cyclical/Interim Revaluation</t>
  </si>
  <si>
    <t>Pager Pay</t>
  </si>
  <si>
    <t>Fin Comm</t>
  </si>
  <si>
    <t>Grand Total General Revenue</t>
  </si>
  <si>
    <t>SEWER USER FEES</t>
  </si>
  <si>
    <t>Millers Falls Assessment</t>
  </si>
  <si>
    <t>Recommend</t>
  </si>
  <si>
    <t>Budget</t>
  </si>
  <si>
    <t>Adjust.</t>
  </si>
  <si>
    <t>Assessing Technician</t>
  </si>
  <si>
    <t>Source</t>
  </si>
  <si>
    <t>Taxation</t>
  </si>
  <si>
    <t>Available</t>
  </si>
  <si>
    <t>Funds</t>
  </si>
  <si>
    <t>Town</t>
  </si>
  <si>
    <t>Borrow</t>
  </si>
  <si>
    <t>Vehicle Supplies &amp; Maintenance</t>
  </si>
  <si>
    <t>Travel/Seminars</t>
  </si>
  <si>
    <t>Equipment R &amp; M</t>
  </si>
  <si>
    <t>BORROWING IN ANTICIPATION OF GRANTS</t>
  </si>
  <si>
    <t>Equipment &lt; $2K</t>
  </si>
  <si>
    <t>Chair, Selectmen</t>
  </si>
  <si>
    <t>Chair</t>
  </si>
  <si>
    <t>Franklin Cty Tech School Capital</t>
  </si>
  <si>
    <t>Director of Health</t>
  </si>
  <si>
    <t xml:space="preserve">DEPT </t>
  </si>
  <si>
    <t>EXPENDED</t>
  </si>
  <si>
    <t>Wages &amp; Expenses</t>
  </si>
  <si>
    <t>SUBTOTAL DPW SUBSIDIARY</t>
  </si>
  <si>
    <t>DEPT OF PUBLIC WORKS</t>
  </si>
  <si>
    <t>PUBLIC BLDG UTILITIES</t>
  </si>
  <si>
    <t>GENERAL INSURANCE</t>
  </si>
  <si>
    <t xml:space="preserve">WATER POLLUTION CONTROL </t>
  </si>
  <si>
    <t>PLANNING</t>
  </si>
  <si>
    <t xml:space="preserve">SEALER OF WEIGHTS </t>
  </si>
  <si>
    <t>Director of Parks &amp; Recreation</t>
  </si>
  <si>
    <t>Clerk 20 hrs</t>
  </si>
  <si>
    <t>Building R &amp; M</t>
  </si>
  <si>
    <t>Hrs</t>
  </si>
  <si>
    <t>Hrly</t>
  </si>
  <si>
    <t>Rate</t>
  </si>
  <si>
    <t>Rate #1</t>
  </si>
  <si>
    <t>Anniv</t>
  </si>
  <si>
    <t xml:space="preserve">Total </t>
  </si>
  <si>
    <t>Rate #2</t>
  </si>
  <si>
    <t>Date</t>
  </si>
  <si>
    <t>Treasury &amp; Collections Specialist</t>
  </si>
  <si>
    <t>710-5930</t>
  </si>
  <si>
    <t>710-5931</t>
  </si>
  <si>
    <t>710-5932</t>
  </si>
  <si>
    <t>710-5933</t>
  </si>
  <si>
    <t>710-5934</t>
  </si>
  <si>
    <t>751-5930</t>
  </si>
  <si>
    <t>751-5930-100</t>
  </si>
  <si>
    <t>751-5931</t>
  </si>
  <si>
    <t>751-5931-100</t>
  </si>
  <si>
    <t>751-5932</t>
  </si>
  <si>
    <t>751-5933</t>
  </si>
  <si>
    <t>751-5934</t>
  </si>
  <si>
    <t>751-5934-100</t>
  </si>
  <si>
    <t>Exemptions V/B/SS/Eld</t>
  </si>
  <si>
    <t>POLICE CRUISER</t>
  </si>
  <si>
    <t>Cell Phone Stipends</t>
  </si>
  <si>
    <t>Cell Phone Stipend</t>
  </si>
  <si>
    <t>5930-100</t>
  </si>
  <si>
    <t>5931-100</t>
  </si>
  <si>
    <t>752-5920</t>
  </si>
  <si>
    <t>Mapping/GIS/Internet</t>
  </si>
  <si>
    <t>Sick Leave Buy-Back</t>
  </si>
  <si>
    <t>Cruiser</t>
  </si>
  <si>
    <t>Ballot</t>
  </si>
  <si>
    <t>Landfill Closure</t>
  </si>
  <si>
    <t>TFHS/GFMS Renovation</t>
  </si>
  <si>
    <t>Police Station $4,999,525</t>
  </si>
  <si>
    <t>Excludes adjustments</t>
  </si>
  <si>
    <t>5211-424</t>
  </si>
  <si>
    <t>Website Maintenance</t>
  </si>
  <si>
    <t>Seminars/Training</t>
  </si>
  <si>
    <t>Domain Hosting</t>
  </si>
  <si>
    <t>Position</t>
  </si>
  <si>
    <t>Board of Assessors</t>
  </si>
  <si>
    <t>Treasurer/Tax Collector</t>
  </si>
  <si>
    <t>Collections Specialist</t>
  </si>
  <si>
    <t>Planning &amp; Comm Dev</t>
  </si>
  <si>
    <t>Director of Planning</t>
  </si>
  <si>
    <t>Chief</t>
  </si>
  <si>
    <t>Staff Sergeant</t>
  </si>
  <si>
    <t>Sergeant</t>
  </si>
  <si>
    <t>Detective</t>
  </si>
  <si>
    <t>Patrolman/K-9</t>
  </si>
  <si>
    <t>Patrolman</t>
  </si>
  <si>
    <t>Police*</t>
  </si>
  <si>
    <t>*Amt includes Incentive Pay for eligible employees</t>
  </si>
  <si>
    <t>Dispatch</t>
  </si>
  <si>
    <t xml:space="preserve">Dispatch Supervisor/Office Adm </t>
  </si>
  <si>
    <t xml:space="preserve">Communications Officer </t>
  </si>
  <si>
    <t>Inspector of Buildings</t>
  </si>
  <si>
    <t>DPW</t>
  </si>
  <si>
    <t xml:space="preserve">Superintendent                         </t>
  </si>
  <si>
    <t xml:space="preserve">Office Manager                        </t>
  </si>
  <si>
    <t xml:space="preserve">Working Foreman                      </t>
  </si>
  <si>
    <t xml:space="preserve">Shop Foreman                           </t>
  </si>
  <si>
    <t xml:space="preserve">Building Maintenenance          </t>
  </si>
  <si>
    <t xml:space="preserve">Custodian                                 </t>
  </si>
  <si>
    <t xml:space="preserve">Grounds Maintenance         </t>
  </si>
  <si>
    <t xml:space="preserve">Heavy Equipment Operator      </t>
  </si>
  <si>
    <t xml:space="preserve">Truck Driver/Laborer              </t>
  </si>
  <si>
    <t xml:space="preserve">Truck Driver/Laborer  </t>
  </si>
  <si>
    <t xml:space="preserve">Truck Driver/Laborer   </t>
  </si>
  <si>
    <t>Board of Health</t>
  </si>
  <si>
    <t>Council on Aging</t>
  </si>
  <si>
    <t>Director of COA</t>
  </si>
  <si>
    <t>Libraries</t>
  </si>
  <si>
    <t xml:space="preserve">Library Technician  </t>
  </si>
  <si>
    <t>26 hrs/wk</t>
  </si>
  <si>
    <t>13 hrs/wk</t>
  </si>
  <si>
    <t>17 hrs/wk</t>
  </si>
  <si>
    <t xml:space="preserve">Library Assistant I </t>
  </si>
  <si>
    <t xml:space="preserve">Childrens' Prog Asst </t>
  </si>
  <si>
    <t>Parks and Recreation</t>
  </si>
  <si>
    <t>Airport Manager</t>
  </si>
  <si>
    <t>Budg Wages</t>
  </si>
  <si>
    <t>Supt</t>
  </si>
  <si>
    <t>48.5 % of Available Sources to GMRSD Operating</t>
  </si>
  <si>
    <t>FCTS Stabilization</t>
  </si>
  <si>
    <t>GMRSD Stabilization</t>
  </si>
  <si>
    <t>Town Stabilization for Sp Articles</t>
  </si>
  <si>
    <t>TOWN STABILIZATION</t>
  </si>
  <si>
    <t>TOTAL VETERANS</t>
  </si>
  <si>
    <t>Computer Equipment/Software</t>
  </si>
  <si>
    <t>Supplies</t>
  </si>
  <si>
    <t>Comcast/Crocker DSL Line</t>
  </si>
  <si>
    <t>Revenue</t>
  </si>
  <si>
    <t>Available Levy</t>
  </si>
  <si>
    <t>Total Available Sources for Operating Expenses</t>
  </si>
  <si>
    <t>IT Administrator Stipend</t>
  </si>
  <si>
    <t>TOTAL WAGES</t>
  </si>
  <si>
    <t>Total Sources for GMRSD Operating</t>
  </si>
  <si>
    <t>Montague's share Excluded GMRSD Debt</t>
  </si>
  <si>
    <t>Free Cash recomended for Operating Expenses</t>
  </si>
  <si>
    <t>Net State Aid (Total less Charges &amp; Offsets)</t>
  </si>
  <si>
    <t>Net Levy (Total less allowance for Abatements)</t>
  </si>
  <si>
    <t xml:space="preserve">Sewer-DPW </t>
  </si>
  <si>
    <t xml:space="preserve"> Dir Planning &amp; Comm Dev</t>
  </si>
  <si>
    <t>6/2/07 Montague Center Roof $95,475</t>
  </si>
  <si>
    <t>Continuing Disclosure Fee (Debt)</t>
  </si>
  <si>
    <t>Incentive</t>
  </si>
  <si>
    <t>%</t>
  </si>
  <si>
    <t>Salaries Full Time</t>
  </si>
  <si>
    <t>Wages Full Time</t>
  </si>
  <si>
    <t>Wages Part Time</t>
  </si>
  <si>
    <t xml:space="preserve">GENERAL FUND SOURCES - NET OF </t>
  </si>
  <si>
    <t xml:space="preserve">BORROWING, TFHS DEBT BALANCE, </t>
  </si>
  <si>
    <t>Printing Annual Report</t>
  </si>
  <si>
    <t>M-Th</t>
  </si>
  <si>
    <t>Shared Paper</t>
  </si>
  <si>
    <t>5214-192</t>
  </si>
  <si>
    <t>5231-193</t>
  </si>
  <si>
    <t>Water - 15 Center St</t>
  </si>
  <si>
    <t xml:space="preserve">GMRSD </t>
  </si>
  <si>
    <t>Vacation Buy Back</t>
  </si>
  <si>
    <t>Plow Items</t>
  </si>
  <si>
    <t xml:space="preserve">Council on Aging Director </t>
  </si>
  <si>
    <t>Building &amp; Grounds R &amp; M</t>
  </si>
  <si>
    <t>Assessing Clerk</t>
  </si>
  <si>
    <t>Wages Full Time - Director</t>
  </si>
  <si>
    <t>Director of Parks &amp; Recreation (days)</t>
  </si>
  <si>
    <t>Daily/Hrly</t>
  </si>
  <si>
    <t>Days/Hrs</t>
  </si>
  <si>
    <t>Sewer User Fees</t>
  </si>
  <si>
    <t>Airport User Fees</t>
  </si>
  <si>
    <t>Airport</t>
  </si>
  <si>
    <t>Town Stabilization For GM</t>
  </si>
  <si>
    <t>Police Wage Scale</t>
  </si>
  <si>
    <t>Ret HIns Other Towns</t>
  </si>
  <si>
    <t>Natural Gas</t>
  </si>
  <si>
    <t>MEDIC</t>
  </si>
  <si>
    <t>Insurance (Bd Directors)</t>
  </si>
  <si>
    <t>TOTAL MEDIC</t>
  </si>
  <si>
    <t>Cell phone stipend</t>
  </si>
  <si>
    <t>Yrs</t>
  </si>
  <si>
    <t>If hired before 7/2/04, or before 6/30/93, or between dates with no incentive</t>
  </si>
  <si>
    <t>UE</t>
  </si>
  <si>
    <t>FY2014</t>
  </si>
  <si>
    <t>Police Academy Expenses</t>
  </si>
  <si>
    <t>Ammunition</t>
  </si>
  <si>
    <t>FC Sheriff's fee to run shelter</t>
  </si>
  <si>
    <t>Software Maint, charges</t>
  </si>
  <si>
    <t>Umbrella Insurance</t>
  </si>
  <si>
    <t>Dept # 182</t>
  </si>
  <si>
    <t>Unrestricted Aid</t>
  </si>
  <si>
    <t>Airport Manager 19 hrs/wk</t>
  </si>
  <si>
    <t>FCTS STABILIZATION</t>
  </si>
  <si>
    <t>Lead Mechanic</t>
  </si>
  <si>
    <t>FRCOG Brownfields Loan Principal</t>
  </si>
  <si>
    <t>FRCOG Brownfields Loan Interest</t>
  </si>
  <si>
    <t>BAN paydown Sheffield Roof</t>
  </si>
  <si>
    <t>FY15</t>
  </si>
  <si>
    <t>Shared Animal Control Officer</t>
  </si>
  <si>
    <t>FY2015</t>
  </si>
  <si>
    <t>Temporary Wages</t>
  </si>
  <si>
    <t xml:space="preserve">Barn Inspector </t>
  </si>
  <si>
    <t>Clerk (17.5 hrs )</t>
  </si>
  <si>
    <t>Part Time Wages (19 hrs FY14)</t>
  </si>
  <si>
    <t>Steps</t>
  </si>
  <si>
    <t>Patrol</t>
  </si>
  <si>
    <t>FY15=FY14+1%</t>
  </si>
  <si>
    <t>Grade</t>
  </si>
  <si>
    <t>J</t>
  </si>
  <si>
    <t>I</t>
  </si>
  <si>
    <t>H</t>
  </si>
  <si>
    <t>G</t>
  </si>
  <si>
    <t>F</t>
  </si>
  <si>
    <t>E</t>
  </si>
  <si>
    <t>D</t>
  </si>
  <si>
    <t>REVISED AND FINAL Police Scale FY14</t>
  </si>
  <si>
    <t>FY16=FY15+1%</t>
  </si>
  <si>
    <t>Fiscal Year 2015</t>
  </si>
  <si>
    <t>Proration for P/T</t>
  </si>
  <si>
    <t>Treasurer MGL Ch41:108P Stipend</t>
  </si>
  <si>
    <t>MGL Ch41:19K Stipend</t>
  </si>
  <si>
    <t>P3</t>
  </si>
  <si>
    <t>P4</t>
  </si>
  <si>
    <t>Requested Assessment</t>
  </si>
  <si>
    <t>19 hrs/wk</t>
  </si>
  <si>
    <t>Sheffield Roof</t>
  </si>
  <si>
    <t>Sheffield Parking Lot</t>
  </si>
  <si>
    <t>B2</t>
  </si>
  <si>
    <t>FRCOG REPC Assessment</t>
  </si>
  <si>
    <t>Inland Marine</t>
  </si>
  <si>
    <t>Law Enforcement</t>
  </si>
  <si>
    <t>Fuel Oil (House)</t>
  </si>
  <si>
    <t>House Expense</t>
  </si>
  <si>
    <t>SRO Patrolman</t>
  </si>
  <si>
    <t>Replace 2 pump stations</t>
  </si>
  <si>
    <t>Skateboard Park - Town Share</t>
  </si>
  <si>
    <t>Sewer Maintenance</t>
  </si>
  <si>
    <t>Sewer Rehab</t>
  </si>
  <si>
    <t xml:space="preserve">Town </t>
  </si>
  <si>
    <t>Transfer FCTS decrease to FCTS Stabilization</t>
  </si>
  <si>
    <t>Records Storage</t>
  </si>
  <si>
    <t>Requested Funding:</t>
  </si>
  <si>
    <t>Projected Income</t>
  </si>
  <si>
    <t>Borrowing</t>
  </si>
  <si>
    <t>Total Borrowing</t>
  </si>
  <si>
    <t>Grand Total All Sources</t>
  </si>
  <si>
    <t>Less State Charges</t>
  </si>
  <si>
    <t>Additional P/T Hours (see note below)</t>
  </si>
  <si>
    <t>BOS &amp;</t>
  </si>
  <si>
    <t>RECOMMEND</t>
  </si>
  <si>
    <t>FIN COMM</t>
  </si>
  <si>
    <t>Add'l amts for UE Pay &amp; Class Implement</t>
  </si>
  <si>
    <t>12 hrs/wk</t>
  </si>
  <si>
    <t>Natural Gas-Unity Park</t>
  </si>
  <si>
    <t>FY15 TOMEA and Non-Union Wage Scale Includes 1% COLA</t>
  </si>
  <si>
    <t>B10</t>
  </si>
  <si>
    <t>FY16</t>
  </si>
  <si>
    <t>G10</t>
  </si>
  <si>
    <t>FY16 TOMEA and Non-Union Wage Scale Includes 1% COLA</t>
  </si>
  <si>
    <t>Fiscal Year 2016</t>
  </si>
  <si>
    <t xml:space="preserve">4 day schedule week </t>
  </si>
  <si>
    <t>D3</t>
  </si>
  <si>
    <t>Food &amp; Drinks</t>
  </si>
  <si>
    <t>Clerk Equip &lt; $2K</t>
  </si>
  <si>
    <t>Electicity - Traffic lights</t>
  </si>
  <si>
    <t>Unused Vacation Buy Back</t>
  </si>
  <si>
    <t>Unused Sick Leave Buy Back</t>
  </si>
  <si>
    <t>FY2016</t>
  </si>
  <si>
    <t>Operating Appropriation to CI Stab</t>
  </si>
  <si>
    <t>Sum of #1, #2</t>
  </si>
  <si>
    <t>State Aid + LER</t>
  </si>
  <si>
    <t>#2</t>
  </si>
  <si>
    <t>Revenue Detail</t>
  </si>
  <si>
    <t>One time GM reimb</t>
  </si>
  <si>
    <t>EOY Budget Report</t>
  </si>
  <si>
    <t>RE revenue</t>
  </si>
  <si>
    <t>PP revenue</t>
  </si>
  <si>
    <t>Transfers In</t>
  </si>
  <si>
    <t>Total GF Rev</t>
  </si>
  <si>
    <t>Levy to use</t>
  </si>
  <si>
    <t>#1</t>
  </si>
  <si>
    <t>Excluded Debt</t>
  </si>
  <si>
    <t>Allow A &amp; E</t>
  </si>
  <si>
    <t>Gross Levy</t>
  </si>
  <si>
    <t xml:space="preserve">Net Levy </t>
  </si>
  <si>
    <t>Need to meet Min</t>
  </si>
  <si>
    <t>DPW Equip (Est)</t>
  </si>
  <si>
    <t>Town LTD Int</t>
  </si>
  <si>
    <t>Town LTD Princ</t>
  </si>
  <si>
    <t>for Non-recurring, emerg, or to Stab</t>
  </si>
  <si>
    <t>35% of cert FC</t>
  </si>
  <si>
    <t>In order to meet this target, BOS can recommend transfer of up to 35% certified Free Cash</t>
  </si>
  <si>
    <t>need to add</t>
  </si>
  <si>
    <t>Maximum</t>
  </si>
  <si>
    <t>Minimum</t>
  </si>
  <si>
    <t>To be used for Capital Improvements, Reserves, or as legally restricted</t>
  </si>
  <si>
    <t>One-Time Revenues</t>
  </si>
  <si>
    <t>For Actual State Aid plus local receipts, backed into #:</t>
  </si>
  <si>
    <t>Recap DE1</t>
  </si>
  <si>
    <t>Recap p 2</t>
  </si>
  <si>
    <t>Recap P1</t>
  </si>
  <si>
    <t>Revenue Projections Detail</t>
  </si>
  <si>
    <t>Net State Aid</t>
  </si>
  <si>
    <t>Est Rec</t>
  </si>
  <si>
    <t>Uses:</t>
  </si>
  <si>
    <t>Debt:</t>
  </si>
  <si>
    <t>GF Debt Service/PYGOR</t>
  </si>
  <si>
    <t>Total Budgeted GOR</t>
  </si>
  <si>
    <t>2% Budgeted GOR</t>
  </si>
  <si>
    <t>6% PYGOR</t>
  </si>
  <si>
    <t>8% PYGOR</t>
  </si>
  <si>
    <t>3% PYGOR</t>
  </si>
  <si>
    <t>.2% PYGOR</t>
  </si>
  <si>
    <t>Total Stabilization Funds plus Free Cash shall be maintained at 5-10% of PYGOR</t>
  </si>
  <si>
    <t>GF Debt</t>
  </si>
  <si>
    <t>Ratio</t>
  </si>
  <si>
    <t>Total GF Debt</t>
  </si>
  <si>
    <t>Less GF Excluded debt</t>
  </si>
  <si>
    <t>Net GF Debt</t>
  </si>
  <si>
    <t>In Annual Budget, Debt Service plus PAYGO Cap Projects should be 6-8% of PYGOR</t>
  </si>
  <si>
    <t>FCTS reimb for SRO-shown below</t>
  </si>
  <si>
    <t>Facilities/Grounds R&amp;M</t>
  </si>
  <si>
    <t>Administrative Exp</t>
  </si>
  <si>
    <t>Internet</t>
  </si>
  <si>
    <t xml:space="preserve">Local Receipts </t>
  </si>
  <si>
    <t>Base pay</t>
  </si>
  <si>
    <t>Holiday Pay</t>
  </si>
  <si>
    <t>Uniform Allowance</t>
  </si>
  <si>
    <t>Retirement</t>
  </si>
  <si>
    <t>rec'd 11/25</t>
  </si>
  <si>
    <t>Generator Maintenance &amp; Fuel</t>
  </si>
  <si>
    <t>Copier Lease/Equip R&amp;M</t>
  </si>
  <si>
    <t>Point Annual Software Maintenance</t>
  </si>
  <si>
    <t>Code Red - Price Locked Forever</t>
  </si>
  <si>
    <t>EMD Services - MedCare</t>
  </si>
  <si>
    <t>Playground Surface Materials</t>
  </si>
  <si>
    <t>Abatement Software</t>
  </si>
  <si>
    <t>Twn Capital</t>
  </si>
  <si>
    <t>Siemens annual monitoring</t>
  </si>
  <si>
    <t>ASSESSORS ABATEMENT SOFTWARE</t>
  </si>
  <si>
    <t>Line, clean, inspect, GIS drains, rehabilitate 1868 drain</t>
  </si>
  <si>
    <t>General Stabilization Fund to be maintained at minimum of 5% PYGOR</t>
  </si>
  <si>
    <t>Annually appropriate 0.3% of PYGOR to General Stabilization as part of operating budget</t>
  </si>
  <si>
    <t xml:space="preserve">GMRSD Debt </t>
  </si>
  <si>
    <t>Under Minimum</t>
  </si>
  <si>
    <t>% of PYGOR</t>
  </si>
  <si>
    <t>FY17</t>
  </si>
  <si>
    <t>FY2017</t>
  </si>
  <si>
    <t>Date of</t>
  </si>
  <si>
    <t>Hire</t>
  </si>
  <si>
    <t>Fiscal Year 2017</t>
  </si>
  <si>
    <t>F-COA</t>
  </si>
  <si>
    <t>To get onto town scale, following COLAs would be needed</t>
  </si>
  <si>
    <t>710-5940</t>
  </si>
  <si>
    <t>751-5940</t>
  </si>
  <si>
    <t>Tax Lien/Foreclosure rev</t>
  </si>
  <si>
    <t>TOTALS</t>
  </si>
  <si>
    <t>TOWN 40%</t>
  </si>
  <si>
    <t>WPCF 60%</t>
  </si>
  <si>
    <t>Total Town</t>
  </si>
  <si>
    <t>Total Sewer</t>
  </si>
  <si>
    <t>Variance</t>
  </si>
  <si>
    <t>FY18</t>
  </si>
  <si>
    <t>FY19</t>
  </si>
  <si>
    <t>FY20</t>
  </si>
  <si>
    <t>FY21</t>
  </si>
  <si>
    <t>FY22</t>
  </si>
  <si>
    <t>FY23</t>
  </si>
  <si>
    <t>FY24</t>
  </si>
  <si>
    <t>FY25</t>
  </si>
  <si>
    <t>FY26</t>
  </si>
  <si>
    <t>FY27</t>
  </si>
  <si>
    <t>FY28</t>
  </si>
  <si>
    <t>FY29</t>
  </si>
  <si>
    <t>FY30</t>
  </si>
  <si>
    <t>FY31</t>
  </si>
  <si>
    <t>FY32</t>
  </si>
  <si>
    <t>FY33</t>
  </si>
  <si>
    <t>FY34</t>
  </si>
  <si>
    <t>FY35</t>
  </si>
  <si>
    <t>FY36</t>
  </si>
  <si>
    <t>FY37</t>
  </si>
  <si>
    <t>FY38</t>
  </si>
  <si>
    <t>FY39</t>
  </si>
  <si>
    <t>FY40</t>
  </si>
  <si>
    <t>FY41</t>
  </si>
  <si>
    <t>FY42</t>
  </si>
  <si>
    <t>FY43</t>
  </si>
  <si>
    <t>FY44</t>
  </si>
  <si>
    <t>FY45</t>
  </si>
  <si>
    <t>FY46</t>
  </si>
  <si>
    <t>FY47</t>
  </si>
  <si>
    <t>FY48</t>
  </si>
  <si>
    <t>FY49</t>
  </si>
  <si>
    <t>FY50</t>
  </si>
  <si>
    <t>Final PSF Prinicpal $103,000</t>
  </si>
  <si>
    <t>Final PSF Interest $103,000</t>
  </si>
  <si>
    <t>Sewer Repair $1,550,000 7/22/14</t>
  </si>
  <si>
    <t>Police Station 11/15/09</t>
  </si>
  <si>
    <t>Less Excluded Debt (+ GMRSD Debt for town bldgs)</t>
  </si>
  <si>
    <t>Moved to 840 for FY17</t>
  </si>
  <si>
    <t>Step</t>
  </si>
  <si>
    <t>INFORMATION TECHNOLOGY</t>
  </si>
  <si>
    <t>Dept #155</t>
  </si>
  <si>
    <t>IT Consultant</t>
  </si>
  <si>
    <t>Estimates</t>
  </si>
  <si>
    <t>FRCOG REPC</t>
  </si>
  <si>
    <t>Spoke to Andrew at Division of Standards 617-727-6480 ext 21133. He said there would be no change unless there was a marked increase</t>
  </si>
  <si>
    <t>or decrease in the number of vendors requiring testing.</t>
  </si>
  <si>
    <t>PLUS SPECIAL ARTICLES/NEW REQUESTS</t>
  </si>
  <si>
    <t>SPECIAL ARTICLES</t>
  </si>
  <si>
    <t>Annual/Hrly</t>
  </si>
  <si>
    <t>WPCF Increase Capital Stabilization Fund</t>
  </si>
  <si>
    <t>Other Prof/Tech (GASB45 Update)</t>
  </si>
  <si>
    <t>Dept # 652</t>
  </si>
  <si>
    <t>Executive Assistant</t>
  </si>
  <si>
    <t>Administrative Assistant</t>
  </si>
  <si>
    <t>16 hrs/wk</t>
  </si>
  <si>
    <t>Compensatory time Buy-Back</t>
  </si>
  <si>
    <t>Vacation Leave Buy-Back (@7 weeks)</t>
  </si>
  <si>
    <t>Total requests exceed amt needed</t>
  </si>
  <si>
    <t>5211-194</t>
  </si>
  <si>
    <t>Electricity Shea</t>
  </si>
  <si>
    <t>5214-197</t>
  </si>
  <si>
    <t>Natural Gas - Shea</t>
  </si>
  <si>
    <t>5231-194</t>
  </si>
  <si>
    <t>Water - Shea</t>
  </si>
  <si>
    <t>Recycle Ctr Permit/Inspection</t>
  </si>
  <si>
    <t>Tree Removal</t>
  </si>
  <si>
    <t>Trees and related supplies</t>
  </si>
  <si>
    <t>determine the expected assessment, and transferring any difference in excess of $10,000 to or from the Franklin County Tech School Stabilization Fund.</t>
  </si>
  <si>
    <t xml:space="preserve">FCTS: Note policy of using a three year rolling average enrollment multiplied by the current year (as opposed to budget year) per-student cost to </t>
  </si>
  <si>
    <t>Policy: Taxation transfer to FCTS Stabilization</t>
  </si>
  <si>
    <t>Overtime</t>
  </si>
  <si>
    <t>SEWER BORROWING</t>
  </si>
  <si>
    <t>Sale of RE &amp; Chapter 90</t>
  </si>
  <si>
    <t>Wks/Hrs</t>
  </si>
  <si>
    <t>RECOMMENDED WAGES BY POSITION</t>
  </si>
  <si>
    <t>TOWN BORROWING</t>
  </si>
  <si>
    <t>SUBTOTAL WPCF</t>
  </si>
  <si>
    <t>ratio</t>
  </si>
  <si>
    <t>Free Cash in excess of 3% of PYGOR should be used for non-recurring or emergency expenditures or moved to Stab.</t>
  </si>
  <si>
    <t>.3% PYGOR</t>
  </si>
  <si>
    <t>FY17 TOMEA, UE and Non-Union Wage Scale = FY16+1%</t>
  </si>
  <si>
    <t>G+8.5</t>
  </si>
  <si>
    <t>Proration for P/T - confirm annual hours for FY18</t>
  </si>
  <si>
    <t>Constable/Other ProfTech</t>
  </si>
  <si>
    <t>Regular Wages</t>
  </si>
  <si>
    <t>Other Wages</t>
  </si>
  <si>
    <t>Professional Services</t>
  </si>
  <si>
    <t>Professional Development</t>
  </si>
  <si>
    <t>General Insurance</t>
  </si>
  <si>
    <t>Town Overhead</t>
  </si>
  <si>
    <t>TFFD Overhead</t>
  </si>
  <si>
    <t>Operational Supplies</t>
  </si>
  <si>
    <t>Equipment &lt; $5K</t>
  </si>
  <si>
    <t>Equipment &lt; $5k</t>
  </si>
  <si>
    <t>Counsel - Pipeline Legal Exp</t>
  </si>
  <si>
    <t>Dues</t>
  </si>
  <si>
    <t xml:space="preserve">Heating Oil </t>
  </si>
  <si>
    <t>Safety Expenses</t>
  </si>
  <si>
    <t>Industrial Park Emergency</t>
  </si>
  <si>
    <t xml:space="preserve">Sludge Equipment </t>
  </si>
  <si>
    <t xml:space="preserve">Office </t>
  </si>
  <si>
    <t xml:space="preserve">Grounds </t>
  </si>
  <si>
    <t xml:space="preserve">Buildings </t>
  </si>
  <si>
    <t>Vehicles</t>
  </si>
  <si>
    <t>Equipment</t>
  </si>
  <si>
    <t>Pump Station</t>
  </si>
  <si>
    <t>CSO</t>
  </si>
  <si>
    <t>Fiscal Year 2018</t>
  </si>
  <si>
    <t>FY18 TOMEA, UE and Non-Union Wage Scale = FY17+1.5%</t>
  </si>
  <si>
    <t>G7</t>
  </si>
  <si>
    <t>8/22/16</t>
  </si>
  <si>
    <t>D10</t>
  </si>
  <si>
    <t>FY2018</t>
  </si>
  <si>
    <t>Operating Appropriation to OPEB</t>
  </si>
  <si>
    <t>Main</t>
  </si>
  <si>
    <t xml:space="preserve">Main </t>
  </si>
  <si>
    <t>Main 440</t>
  </si>
  <si>
    <t>Pump Stations CWP-14-28 $1.9M</t>
  </si>
  <si>
    <t>Pump Stations CWP-14-28 $1.9M Admn</t>
  </si>
  <si>
    <t>751-5941</t>
  </si>
  <si>
    <t>751-5941-100</t>
  </si>
  <si>
    <t>710-5941</t>
  </si>
  <si>
    <t>Proposed Staffing</t>
  </si>
  <si>
    <t>F-DPW</t>
  </si>
  <si>
    <t>F-WPCF</t>
  </si>
  <si>
    <t>Miscellaneous Expenses</t>
  </si>
  <si>
    <t xml:space="preserve">GASB 45 </t>
  </si>
  <si>
    <t>Citizen Serve Annual Fees (Permits)</t>
  </si>
  <si>
    <t>Montague Share ACO Vehicle</t>
  </si>
  <si>
    <t>ANIMAL CONTROL CAPITAL OUTLAY</t>
  </si>
  <si>
    <t>Software and Storage Support</t>
  </si>
  <si>
    <t>Moderator Seminars</t>
  </si>
  <si>
    <t>Planning Intern through Umass</t>
  </si>
  <si>
    <t>Operating Appropriation to Town Gen Stab</t>
  </si>
  <si>
    <t>710-5942</t>
  </si>
  <si>
    <t>710-5943</t>
  </si>
  <si>
    <t>#16 5/3/14 Sewer Lines $160K</t>
  </si>
  <si>
    <t>#12 5/2/15 Sewer Lines $200k</t>
  </si>
  <si>
    <t>Skateboard Park</t>
  </si>
  <si>
    <t>Total Sewer Debt</t>
  </si>
  <si>
    <t>Landfill Attendent</t>
  </si>
  <si>
    <t>Lead Operator</t>
  </si>
  <si>
    <t>Wastewater Technician</t>
  </si>
  <si>
    <t>Server Anti-Virus (previously Sp Art)</t>
  </si>
  <si>
    <t>Other Prof/Tech (mtg Minutes for FY18)</t>
  </si>
  <si>
    <t>Leases/Support/Contracts</t>
  </si>
  <si>
    <t>K-9 Stipends</t>
  </si>
  <si>
    <t>Signs</t>
  </si>
  <si>
    <t>Financial Advisor Services</t>
  </si>
  <si>
    <t>P2</t>
  </si>
  <si>
    <t>Existing Sp Art Balances</t>
  </si>
  <si>
    <t xml:space="preserve">  Sp Article Balances</t>
  </si>
  <si>
    <t>Assessing Admin Asst</t>
  </si>
  <si>
    <t>Annual Audit (FY17 expected at 28K)</t>
  </si>
  <si>
    <t>P/T Health Inspector@ 25 hrs</t>
  </si>
  <si>
    <t>Really need separate line items for each PT employee? Gina prefers separate accounts.</t>
  </si>
  <si>
    <t>Police Station $103,000</t>
  </si>
  <si>
    <t xml:space="preserve">GMRSD Windows FY18 </t>
  </si>
  <si>
    <t>Allocation var to Total</t>
  </si>
  <si>
    <t>FY19 TOMEA, UE and Non-Union Wage Scale = FY18+2%</t>
  </si>
  <si>
    <t>#693</t>
  </si>
  <si>
    <t>5232-541</t>
  </si>
  <si>
    <t>Sewer - 62 5th St</t>
  </si>
  <si>
    <t>5232-194</t>
  </si>
  <si>
    <t>Sewer 15 School St</t>
  </si>
  <si>
    <t>Other Expenses</t>
  </si>
  <si>
    <t>Trans to General Fund (PY Res Fd Trans)</t>
  </si>
  <si>
    <t>FY19 EA request is for 30 hours a week plus 50 hours</t>
  </si>
  <si>
    <t>G8</t>
  </si>
  <si>
    <t>B8</t>
  </si>
  <si>
    <t>P5</t>
  </si>
  <si>
    <t>A3</t>
  </si>
  <si>
    <t>E8</t>
  </si>
  <si>
    <t>Amount</t>
  </si>
  <si>
    <t>FY2019</t>
  </si>
  <si>
    <t>$</t>
  </si>
  <si>
    <t>Explanation</t>
  </si>
  <si>
    <t>Change</t>
  </si>
  <si>
    <t>Add'l Approp to Town GSF to meet minimum</t>
  </si>
  <si>
    <t>WPCF Capital Discretionary Article</t>
  </si>
  <si>
    <t>WPCF Feasibility Study</t>
  </si>
  <si>
    <t>FY18=FY17+1.5%</t>
  </si>
  <si>
    <t>FY17=FY16+1%</t>
  </si>
  <si>
    <t xml:space="preserve">Superintendent </t>
  </si>
  <si>
    <t>NAGE</t>
  </si>
  <si>
    <t>NEPBA</t>
  </si>
  <si>
    <t>Police</t>
  </si>
  <si>
    <t>DPW/Sewer</t>
  </si>
  <si>
    <t>Other</t>
  </si>
  <si>
    <t>increased FCSWMD 4.2% per CB via SE</t>
  </si>
  <si>
    <t>Request Compare</t>
  </si>
  <si>
    <t>to FY18 Budget</t>
  </si>
  <si>
    <t>PERCENT INCREASE FROM FY18</t>
  </si>
  <si>
    <t>Website Hosting/Maintenance</t>
  </si>
  <si>
    <t>#30 5/6/17 Sewer Lines $385</t>
  </si>
  <si>
    <t>751-5942</t>
  </si>
  <si>
    <t>751-5943</t>
  </si>
  <si>
    <t>#15 9/12/13 Ind Blvd $936k</t>
  </si>
  <si>
    <t>710-5945</t>
  </si>
  <si>
    <t>751-5945</t>
  </si>
  <si>
    <t>751-5946</t>
  </si>
  <si>
    <t>710-5946</t>
  </si>
  <si>
    <t>#2 5/3/14 MF Soil Stab #81,679</t>
  </si>
  <si>
    <t>Telephone/Tablet data packages</t>
  </si>
  <si>
    <t>#2 5/3/14 MF Soil Stab. $81,679</t>
  </si>
  <si>
    <t>contractual agreement</t>
  </si>
  <si>
    <t>represents current spending</t>
  </si>
  <si>
    <t>increased cost for stickers</t>
  </si>
  <si>
    <t>School Windows</t>
  </si>
  <si>
    <t>CSO Projects (60/40 WPCF/Town)</t>
  </si>
  <si>
    <t>CSO Projects 40% TOWN</t>
  </si>
  <si>
    <t>CSO PROJECTS 60$ SEWER</t>
  </si>
  <si>
    <t>Town Principal</t>
  </si>
  <si>
    <t>Town Interest</t>
  </si>
  <si>
    <t>Sewer Principal</t>
  </si>
  <si>
    <t>Sewer Interest</t>
  </si>
  <si>
    <t>Total Sewer Debt Service</t>
  </si>
  <si>
    <t>Total Town Debt Service</t>
  </si>
  <si>
    <t>WPCF Debt Service (Principal &amp; Interest)</t>
  </si>
  <si>
    <t>School Building project (est @93%)</t>
  </si>
  <si>
    <t>Town share GM Building</t>
  </si>
  <si>
    <t>GM Windows</t>
  </si>
  <si>
    <t>GRAND TOTAL LT DEBT SERVICE</t>
  </si>
  <si>
    <t>Town Debt Service (Principal &amp; Interest)</t>
  </si>
  <si>
    <t>Book delivery to branches</t>
  </si>
  <si>
    <t>Anti-Virus (prev Sp Art)see note</t>
  </si>
  <si>
    <t xml:space="preserve">CWMARS </t>
  </si>
  <si>
    <t>Clothing Allowance</t>
  </si>
  <si>
    <t>PT FCTS Intern</t>
  </si>
  <si>
    <t>Intern</t>
  </si>
  <si>
    <t>2 Ipads</t>
  </si>
  <si>
    <t>Telephone/Ipad service</t>
  </si>
  <si>
    <t>Office Supplies/Envelopes</t>
  </si>
  <si>
    <t>Office Supplies/envelopes</t>
  </si>
  <si>
    <t>MC Park Master Plan</t>
  </si>
  <si>
    <t>Total Local Receipts For AA</t>
  </si>
  <si>
    <t>Other Local Receipts</t>
  </si>
  <si>
    <t>FCTS SRO Reimb</t>
  </si>
  <si>
    <t>50% Kearsarge Lease</t>
  </si>
  <si>
    <t>Grand Total Local Receipts</t>
  </si>
  <si>
    <t>Hillcrest Security Entrance</t>
  </si>
  <si>
    <t>Questions:</t>
  </si>
  <si>
    <t>Note: Verizon Wireless pays for 2 cell phones (used by on call staff instead of pagers) and the service for the tablet (used in the field)</t>
  </si>
  <si>
    <t>Fy15</t>
  </si>
  <si>
    <t>Summary of duties of municipal assessors:</t>
  </si>
  <si>
    <t>Value all real and personal property within the municipality on a fair cash basis. Inspect property sales, implement a cyclical</t>
  </si>
  <si>
    <t>property reinspection program, complete annual property adjustment analysis, and prepare for triennial certification of property</t>
  </si>
  <si>
    <t>values by DLS.</t>
  </si>
  <si>
    <t>Conduct inspections of building permit properties and determin new growth for the levy limit.</t>
  </si>
  <si>
    <t>Fix the annual tax levy and set the tax rate. Participate in the preparation of the Tax Recapitulation Sheet.</t>
  </si>
  <si>
    <t>Establish the annual overlay amount for insertion in the Tax Recap Sheet.</t>
  </si>
  <si>
    <t>Determine any overlay surplus.</t>
  </si>
  <si>
    <t>Assess and administer motor vehicle, farm, and boat excises.</t>
  </si>
  <si>
    <t>Prepare the valuation and commitment list.</t>
  </si>
  <si>
    <t>Commit original and apportioned betterments to the collector.</t>
  </si>
  <si>
    <t>Commit delinquent municipal charges, including water and sewer liens and charges, to tax bills.</t>
  </si>
  <si>
    <t>Sign the commitment under oath and send it with a warrant to the collector.</t>
  </si>
  <si>
    <t>Send a notice of the commitment to the accountant/auditor.</t>
  </si>
  <si>
    <t>Process and act on abatement and exemption applications.</t>
  </si>
  <si>
    <t>Send copies of approved abatement and exemption certificates to the collector and accountant/auditor.</t>
  </si>
  <si>
    <t>Complete DLS(Department of Revenue Division of Local Services) Course 101</t>
  </si>
  <si>
    <t>C5</t>
  </si>
  <si>
    <t>Uniform Rental/Cleaning</t>
  </si>
  <si>
    <t>Telephone/Internet/Pagers</t>
  </si>
  <si>
    <t>Computer R &amp; M/Support</t>
  </si>
  <si>
    <t>Computer R&amp; M/ Support</t>
  </si>
  <si>
    <t>A few notes about the DPW Budgets:</t>
  </si>
  <si>
    <t>·        The Department 420 is a summary tab that combines 192 (Public Buildings Maintenance, 422 Streets) and 652 (Parks). Wages for all DPW employees are shown on the bottom of this page, but the individual wages are budgeted in the appropriate tab. One can track the individuals budgeted in each subgroup by following the cell references in the budgeted wages.</t>
  </si>
  <si>
    <t>·        The wages for the part-time Landfill Assistant appear in Department 433, Solid Waste.</t>
  </si>
  <si>
    <t>·        Budgets for departments 192 and 652 each have 3 full-time employees.</t>
  </si>
  <si>
    <t>·        The budget for Department 422 includes wages for 11 full-time employees.</t>
  </si>
  <si>
    <t xml:space="preserve"> </t>
  </si>
  <si>
    <t>DPW CAPITAL LEASE</t>
  </si>
  <si>
    <t>Meet all DLS regulatory requirements and assessment administration standards.</t>
  </si>
  <si>
    <t xml:space="preserve">Changed FRCOG to actual assessment </t>
  </si>
  <si>
    <t>WPCF Pump Station Controls</t>
  </si>
  <si>
    <t>Flail Mower Lease (FY18-FY22) to 422</t>
  </si>
  <si>
    <t>FLAIL LEASE #2/5</t>
  </si>
  <si>
    <t>Flail Mower Lease FY18-22</t>
  </si>
  <si>
    <t>Pump Stations CWP-14-28 $1.6M Admn</t>
  </si>
  <si>
    <t>permenant debt payments not due until 7/15/19, only 1 interest payment and admin for FY19</t>
  </si>
  <si>
    <t>Solar Array Interest</t>
  </si>
  <si>
    <t>Solar Array Principal</t>
  </si>
  <si>
    <t>Proposed</t>
  </si>
  <si>
    <t>Cultural Coordinator (25 hrs)</t>
  </si>
  <si>
    <t>Planning Clerk (17.5 hrs)</t>
  </si>
  <si>
    <t>T</t>
  </si>
  <si>
    <t>GMRSD SRO Reimb</t>
  </si>
  <si>
    <t>COA front stairs/porch</t>
  </si>
  <si>
    <t>GMRSD Upgrade BMA</t>
  </si>
  <si>
    <t>Sheffield Intercom</t>
  </si>
  <si>
    <t>Hillcrest Intercom</t>
  </si>
  <si>
    <t>WPCF Solar Array</t>
  </si>
  <si>
    <t>Colle Building Renovations</t>
  </si>
  <si>
    <t>Town wide map storage</t>
  </si>
  <si>
    <t>Fiscal Year 2019 0.5% Hazardous Duty</t>
  </si>
  <si>
    <t>FY19 HD=FY18+0.5%</t>
  </si>
  <si>
    <t>Fiscal Year 2019 Base Wages</t>
  </si>
  <si>
    <t>FY19=FY19 HD + 2%</t>
  </si>
  <si>
    <t>Lieutanant</t>
  </si>
  <si>
    <t>15 hrs/wk + 35</t>
  </si>
  <si>
    <t>14 hrs/wk</t>
  </si>
  <si>
    <t>20 hrs/wk</t>
  </si>
  <si>
    <t>Net Levy less excluded debt PLUS actual State Aid PLUS local estimated receipts</t>
  </si>
  <si>
    <t xml:space="preserve">Current balance </t>
  </si>
  <si>
    <t>Capital Improvement Stabilization Fund :should have annual appropriation of 0.2% PYGOR</t>
  </si>
  <si>
    <t>Net GF Debt Svc less Excluded Debt</t>
  </si>
  <si>
    <t>Building Admin Asst</t>
  </si>
  <si>
    <t>Interest on ST notes for DPW Facility</t>
  </si>
  <si>
    <t>752-5922</t>
  </si>
  <si>
    <t xml:space="preserve">#1 3/29/18 DPW Facility </t>
  </si>
  <si>
    <t>FY2020</t>
  </si>
  <si>
    <t>Miscellaneous Supply</t>
  </si>
  <si>
    <t>Investigation Expense</t>
  </si>
  <si>
    <t>Vacation BuyBack</t>
  </si>
  <si>
    <t>Sick Leave BuyBack</t>
  </si>
  <si>
    <t>Other Purchased Services</t>
  </si>
  <si>
    <t xml:space="preserve">Custodial Services </t>
  </si>
  <si>
    <t>Telephone/Internet</t>
  </si>
  <si>
    <t>FCTS SRO</t>
  </si>
  <si>
    <t>GMRSD SRO</t>
  </si>
  <si>
    <t>Book Delivery</t>
  </si>
  <si>
    <t>Part Time Wages (17 hrs FY19)</t>
  </si>
  <si>
    <t>G+8.5%</t>
  </si>
  <si>
    <t>weeks</t>
  </si>
  <si>
    <t xml:space="preserve">Proration for P/T </t>
  </si>
  <si>
    <t>Fiscal Year 2020 Base Wages</t>
  </si>
  <si>
    <t>G9</t>
  </si>
  <si>
    <t>B9</t>
  </si>
  <si>
    <t>P/t hours based on 6.5,6,6,6.5 schedule</t>
  </si>
  <si>
    <t>P6</t>
  </si>
  <si>
    <t>E5</t>
  </si>
  <si>
    <t>A4</t>
  </si>
  <si>
    <t>A7</t>
  </si>
  <si>
    <t xml:space="preserve">Chief Operator                               KB                             </t>
  </si>
  <si>
    <t>Lead Operator                                JR</t>
  </si>
  <si>
    <t>Lead Mechanic                              TP</t>
  </si>
  <si>
    <t>50% Kearsarge Lease - 51.5 % to Town Cap Stab</t>
  </si>
  <si>
    <t>50% Kearsarge Lease - 48.5 % to GM Stab</t>
  </si>
  <si>
    <t xml:space="preserve">Assessors Utility Valuation </t>
  </si>
  <si>
    <t>F3</t>
  </si>
  <si>
    <t>Amount above "affordable" (From GMRSD Stabilization)</t>
  </si>
  <si>
    <t xml:space="preserve">Request </t>
  </si>
  <si>
    <t>Kearsarge Rental Breakdown</t>
  </si>
  <si>
    <t>50% Stabilization</t>
  </si>
  <si>
    <t>GRMSD 48.5% Operating to Allocation</t>
  </si>
  <si>
    <t>Town 51.5% Operating to Town Capital Stabilization</t>
  </si>
  <si>
    <t>GRMSD 48.5% Capital to GMRSD Stabilization Fund</t>
  </si>
  <si>
    <t>Town 51.5% Capital to Town Capital Stabilization</t>
  </si>
  <si>
    <t>Total allocation</t>
  </si>
  <si>
    <t>To allocate 50% of the Kearsarge lease revenue as general revenue to be included in the affordable assessment calculation. The remaining 50% will be split 48.5% to the GMRSD Stabilization Fund and 51.5% percent to the Town Capital Stabilization Fund. The Finance Committee shall then increase the appropriation to the Town Capital Stabilization Fund by our 51.5% of the 50% of general revenue.  The GMRSD will end up with 48.5% of the total Kearsarge lease revenue, half of the 48.5% in affordable assessment and half of the 48.5% in the GMRSD Stabilization Fund. The town ends up with 51.5% of the total lease revenue in the Town Capital Stabilization Fund.</t>
  </si>
  <si>
    <t>50% General Revenue -Operating</t>
  </si>
  <si>
    <t>Rental - 50% of Kearsarge</t>
  </si>
  <si>
    <t>Citizen Serve Annual Fees FY20-Dept</t>
  </si>
  <si>
    <t>Citizen Serve 4 licenses</t>
  </si>
  <si>
    <t>Citizen Serve - 2 licenses</t>
  </si>
  <si>
    <t>Citizen Serve 1 license</t>
  </si>
  <si>
    <t>Meals Tax</t>
  </si>
  <si>
    <t>Solid Waste Tipping Fees</t>
  </si>
  <si>
    <t>Street Line Painting</t>
  </si>
  <si>
    <r>
      <t xml:space="preserve">Building Renewal &amp; Equipment Replacement will be budgeted at 2% of </t>
    </r>
    <r>
      <rPr>
        <b/>
        <sz val="12"/>
        <rFont val="Arial"/>
        <family val="2"/>
      </rPr>
      <t>Budget</t>
    </r>
    <r>
      <rPr>
        <sz val="12"/>
        <rFont val="Arial"/>
        <family val="2"/>
      </rPr>
      <t xml:space="preserve"> year est GOR</t>
    </r>
  </si>
  <si>
    <t xml:space="preserve">Flail Lease </t>
  </si>
  <si>
    <t>based on avg FY17-FY18</t>
  </si>
  <si>
    <t>increases averaging 18.5%</t>
  </si>
  <si>
    <t>Tipping Fees (split from 5280)</t>
  </si>
  <si>
    <t xml:space="preserve">Assessors Hydroelectric Valuation </t>
  </si>
  <si>
    <t>Wastewater Tech                         TL</t>
  </si>
  <si>
    <t>CitizenServe 3 licenses</t>
  </si>
  <si>
    <t>expected rate increase</t>
  </si>
  <si>
    <t>steps</t>
  </si>
  <si>
    <t>Bldg R &amp; M / Alarm Monitoring</t>
  </si>
  <si>
    <t>Bldg R &amp; M / Alarm Montoring</t>
  </si>
  <si>
    <t>`</t>
  </si>
  <si>
    <t>Election Tabulators</t>
  </si>
  <si>
    <t>EDIC Signage</t>
  </si>
  <si>
    <t>Town Hall Awning</t>
  </si>
  <si>
    <t>MC Library Moisture Remediation</t>
  </si>
  <si>
    <t>Town Share $22 5/7/16 Siphon</t>
  </si>
  <si>
    <t>#1 3/29/18 DPW Facility 1st Debt</t>
  </si>
  <si>
    <t>Tech School Pump Station Upgrade</t>
  </si>
  <si>
    <t>Compost Facility Engineering</t>
  </si>
  <si>
    <t>Carnegie Doors</t>
  </si>
  <si>
    <t>MF Library Moisture Remediation</t>
  </si>
  <si>
    <t>Incl stipends</t>
  </si>
  <si>
    <t xml:space="preserve">Lead Grounds Maintenance         </t>
  </si>
  <si>
    <t>28.5 hrs/wk</t>
  </si>
  <si>
    <t>Chief Operator</t>
  </si>
  <si>
    <t>Laborer</t>
  </si>
  <si>
    <t>Other Prof/Tech</t>
  </si>
  <si>
    <t>TFHS Sidewalks</t>
  </si>
  <si>
    <t>Sheffield Columns</t>
  </si>
  <si>
    <t>Hillcrest Electrical</t>
  </si>
  <si>
    <t>GM Truck</t>
  </si>
  <si>
    <t>Hillcrest Façade (20-25K)</t>
  </si>
  <si>
    <t xml:space="preserve">Millers Falls I &amp; I </t>
  </si>
  <si>
    <t>Town Share #22 5/7/16 Siphon</t>
  </si>
  <si>
    <t>put Travel request back to $2Kk per CW</t>
  </si>
  <si>
    <t>710-5948</t>
  </si>
  <si>
    <t>WPCF Share #22 5/7/16 Siphon</t>
  </si>
  <si>
    <t>#17 Pump Stations CWP-14-28 $1.6M</t>
  </si>
  <si>
    <t>710-5947</t>
  </si>
  <si>
    <t>#17 5/3/14 PS #2</t>
  </si>
  <si>
    <t>#12 5/2/15 Sewer Lines $385k</t>
  </si>
  <si>
    <t>#15 9/12/13 Sewer Lines</t>
  </si>
  <si>
    <t xml:space="preserve">Town Share (90%) Storm Drain </t>
  </si>
  <si>
    <t>Chemicals (orig budg incl in 5280, 5440)</t>
  </si>
  <si>
    <t>Grounds Expense</t>
  </si>
  <si>
    <t xml:space="preserve">     </t>
  </si>
  <si>
    <t>FY20 Net Excluded</t>
  </si>
  <si>
    <t>CitizenServe 1 license</t>
  </si>
  <si>
    <t>adjusted for new employee EP</t>
  </si>
  <si>
    <t>Add'l Approp to FCTS Stab to offset FY21 Inc</t>
  </si>
  <si>
    <t>Treasury &amp; Collections Spec (25/wk)</t>
  </si>
  <si>
    <t>TOTAL TOWN BUDGET</t>
  </si>
  <si>
    <t>TOTAL CULTURE/RECREATION</t>
  </si>
  <si>
    <t>TOTAL GENERAL GOVT</t>
  </si>
  <si>
    <t>SELECTBOARD</t>
  </si>
  <si>
    <t>Incr</t>
  </si>
  <si>
    <t>increased FCTS $300k</t>
  </si>
  <si>
    <t>FY20 PPC</t>
  </si>
  <si>
    <t>capital assess=29,829</t>
  </si>
  <si>
    <t>est students</t>
  </si>
  <si>
    <t>est assess</t>
  </si>
  <si>
    <t>incremental</t>
  </si>
  <si>
    <t>increase</t>
  </si>
  <si>
    <t>710-5950</t>
  </si>
  <si>
    <t>SELECT BOARD</t>
  </si>
  <si>
    <t>Fiscal Year 2021 Base Wages</t>
  </si>
  <si>
    <t>FY21= FY20, 0%, new step</t>
  </si>
  <si>
    <t>FY20= Final FY19 HD + 1.5%</t>
  </si>
  <si>
    <t>2.5%</t>
  </si>
  <si>
    <t>J11</t>
  </si>
  <si>
    <t>E11</t>
  </si>
  <si>
    <t>G11</t>
  </si>
  <si>
    <t>B11</t>
  </si>
  <si>
    <t>C11</t>
  </si>
  <si>
    <t>I6</t>
  </si>
  <si>
    <t>G+8.5%/10</t>
  </si>
  <si>
    <t>E9</t>
  </si>
  <si>
    <t>E3</t>
  </si>
  <si>
    <t>H11</t>
  </si>
  <si>
    <t>F4</t>
  </si>
  <si>
    <t>C8</t>
  </si>
  <si>
    <t>A5</t>
  </si>
  <si>
    <t>C6</t>
  </si>
  <si>
    <t>B5</t>
  </si>
  <si>
    <t>Using NAGE</t>
  </si>
  <si>
    <t>G6</t>
  </si>
  <si>
    <t>F8</t>
  </si>
  <si>
    <t>A10</t>
  </si>
  <si>
    <t>A8</t>
  </si>
  <si>
    <t>Asst Director Stipend</t>
  </si>
  <si>
    <t>Laborer                                          PM</t>
  </si>
  <si>
    <t>SS5</t>
  </si>
  <si>
    <t>S5</t>
  </si>
  <si>
    <t>D7</t>
  </si>
  <si>
    <t>P8</t>
  </si>
  <si>
    <t>13</t>
  </si>
  <si>
    <t>4</t>
  </si>
  <si>
    <t>Yrs FY21</t>
  </si>
  <si>
    <t>Yrs Svc FY21</t>
  </si>
  <si>
    <t>FY2021</t>
  </si>
  <si>
    <t>FY20 Actual</t>
  </si>
  <si>
    <t>Placeholder for Estimated FY21 Sp Articles</t>
  </si>
  <si>
    <t>Cannabis</t>
  </si>
  <si>
    <t>Dlugosz</t>
  </si>
  <si>
    <t xml:space="preserve">FY21 Finance Policy Guidelines/Calculations </t>
  </si>
  <si>
    <t xml:space="preserve">FY19 Operating Revenues: </t>
  </si>
  <si>
    <t>FY19 General Operating Revenues (PYGOR)</t>
  </si>
  <si>
    <t>FY19 GOR</t>
  </si>
  <si>
    <t>Available Stabilizations 7/1 (non-sewer)</t>
  </si>
  <si>
    <t>P/T Temp Wages</t>
  </si>
  <si>
    <t>Adverising</t>
  </si>
  <si>
    <t>Kearsrge Reimb</t>
  </si>
  <si>
    <t>Kearsarge Reimb FY19</t>
  </si>
  <si>
    <t>Equip &lt; $5K</t>
  </si>
  <si>
    <t>FY2020 Gross</t>
  </si>
  <si>
    <t>FY21 Gross Excludable</t>
  </si>
  <si>
    <t>FY21 Net Excluded</t>
  </si>
  <si>
    <t>Equipment &lt;$5K</t>
  </si>
  <si>
    <t>Police Discretionary (to budget for FY21)</t>
  </si>
  <si>
    <t>Transportation Infrastructure</t>
  </si>
  <si>
    <t xml:space="preserve">  Transportation Infrastructure RRA</t>
  </si>
  <si>
    <t xml:space="preserve">   Colle Receipts Reserved for Appropriation</t>
  </si>
  <si>
    <t>Free Cash 10/3</t>
  </si>
  <si>
    <t>updated 8/22/19</t>
  </si>
  <si>
    <t>Revenue Estimates for FY2021</t>
  </si>
  <si>
    <t>On-Call Detective Stipend</t>
  </si>
  <si>
    <t>Includes 1.5 % Adjustment</t>
  </si>
  <si>
    <t xml:space="preserve">FY22 </t>
  </si>
  <si>
    <t>C2</t>
  </si>
  <si>
    <t>D2</t>
  </si>
  <si>
    <t>Excess Capacity</t>
  </si>
  <si>
    <t>includes leaving excess capacity</t>
  </si>
  <si>
    <t>#1 3/29/18 DPW Facility 2nd Debt</t>
  </si>
  <si>
    <t>updated 5670 per 10/9 proposed assessment</t>
  </si>
  <si>
    <t>D6</t>
  </si>
  <si>
    <t>Secretary</t>
  </si>
  <si>
    <t>includes stipend</t>
  </si>
  <si>
    <t>FY2021 BUDGET SUMMARY</t>
  </si>
  <si>
    <t>Montague enrollment at FCTS = 105, slightly lower than the 109 originally expected.</t>
  </si>
  <si>
    <r>
      <t>3 year average ((+76+85+</t>
    </r>
    <r>
      <rPr>
        <b/>
        <sz val="12"/>
        <rFont val="Times New Roman"/>
        <family val="1"/>
      </rPr>
      <t>105</t>
    </r>
    <r>
      <rPr>
        <sz val="12"/>
        <rFont val="Times New Roman"/>
        <family val="1"/>
      </rPr>
      <t xml:space="preserve">)/3)=89 times FY20 PPC (1,055,178/85=12,414); 89 times $12,414 = 1,104,846 expected assessment; </t>
    </r>
  </si>
  <si>
    <t>MC Park Surveying</t>
  </si>
  <si>
    <t>C3</t>
  </si>
  <si>
    <t>Need to meet max</t>
  </si>
  <si>
    <t>in case of rate increase</t>
  </si>
  <si>
    <t>to offset loss of Sp Article</t>
  </si>
  <si>
    <t>price increase FY20</t>
  </si>
  <si>
    <t>Received</t>
  </si>
  <si>
    <t>one time charge for custom bills</t>
  </si>
  <si>
    <t>New desk for Treasurer</t>
  </si>
  <si>
    <t>Postage meter supplies (ink) not previously budgeted for</t>
  </si>
  <si>
    <t>Depts req drop 3, moved here</t>
  </si>
  <si>
    <r>
      <t xml:space="preserve">Citizen Serve - </t>
    </r>
    <r>
      <rPr>
        <strike/>
        <sz val="10"/>
        <rFont val="Arial"/>
        <family val="2"/>
      </rPr>
      <t>2</t>
    </r>
    <r>
      <rPr>
        <sz val="10"/>
        <rFont val="Arial"/>
        <family val="2"/>
      </rPr>
      <t xml:space="preserve"> licenses 1 for FY21</t>
    </r>
  </si>
  <si>
    <r>
      <t xml:space="preserve">Citizen Serve </t>
    </r>
    <r>
      <rPr>
        <strike/>
        <sz val="10"/>
        <rFont val="Arial"/>
        <family val="2"/>
      </rPr>
      <t>4</t>
    </r>
    <r>
      <rPr>
        <sz val="10"/>
        <rFont val="Arial"/>
        <family val="2"/>
      </rPr>
      <t xml:space="preserve"> licenses-3 for FY21</t>
    </r>
  </si>
  <si>
    <r>
      <t xml:space="preserve">Citizen Serve </t>
    </r>
    <r>
      <rPr>
        <strike/>
        <sz val="10"/>
        <rFont val="Arial"/>
        <family val="2"/>
      </rPr>
      <t>3</t>
    </r>
    <r>
      <rPr>
        <sz val="10"/>
        <rFont val="Arial"/>
        <family val="2"/>
      </rPr>
      <t xml:space="preserve"> licenses-2 for FY21</t>
    </r>
  </si>
  <si>
    <t>To Do and Changes</t>
  </si>
  <si>
    <t>WPCF Revenue Detail</t>
  </si>
  <si>
    <t>Revenue Projections</t>
  </si>
  <si>
    <t>Table of Contents</t>
  </si>
  <si>
    <t>TOC</t>
  </si>
  <si>
    <t>GMRSD Allocation Summary</t>
  </si>
  <si>
    <t>Financial Policy Numbers</t>
  </si>
  <si>
    <t>Working Budget with Funding Detail</t>
  </si>
  <si>
    <t>113 Town Meeting</t>
  </si>
  <si>
    <t>122 Selectboard</t>
  </si>
  <si>
    <t>131 Finance Committee</t>
  </si>
  <si>
    <t>132 Reserve Fund</t>
  </si>
  <si>
    <t>135 Town Accountant</t>
  </si>
  <si>
    <t>141 Board of Assessors</t>
  </si>
  <si>
    <t>145 Treasurer/Tax Collector</t>
  </si>
  <si>
    <t>151 Legal</t>
  </si>
  <si>
    <t>155 Information Technology</t>
  </si>
  <si>
    <t>159 Shared Costs</t>
  </si>
  <si>
    <t>161 Town Clerk</t>
  </si>
  <si>
    <t>175 Planning</t>
  </si>
  <si>
    <t>176 Zoning Board of Appeals</t>
  </si>
  <si>
    <t>182 MEDIC</t>
  </si>
  <si>
    <t>211 Police</t>
  </si>
  <si>
    <t>212 Dispatch</t>
  </si>
  <si>
    <t>241 Building Inspector</t>
  </si>
  <si>
    <t>291 Emergency Management</t>
  </si>
  <si>
    <t>299 Tree Warden</t>
  </si>
  <si>
    <t>300 Education</t>
  </si>
  <si>
    <t>420 DPW-Consolidated</t>
  </si>
  <si>
    <t>192 DPW-Public Buildings</t>
  </si>
  <si>
    <t>652 DPW-Parks</t>
  </si>
  <si>
    <t>433 Solid Waste</t>
  </si>
  <si>
    <t>423 Snow &amp; Ice</t>
  </si>
  <si>
    <t>511 Board of Health</t>
  </si>
  <si>
    <t>541 Council on Aging</t>
  </si>
  <si>
    <t>543 Veterans Benefits</t>
  </si>
  <si>
    <t>610 Libraries</t>
  </si>
  <si>
    <t>630 Parks &amp; Recreation</t>
  </si>
  <si>
    <t>700 Town Debt</t>
  </si>
  <si>
    <t>840 Intergovernmental</t>
  </si>
  <si>
    <t>910 Town Benefits</t>
  </si>
  <si>
    <t>228 Colle</t>
  </si>
  <si>
    <t>600-482 Airport</t>
  </si>
  <si>
    <t>661-440 WPCF Main Budget</t>
  </si>
  <si>
    <t>661-449 WPCF DPW Subsidiary</t>
  </si>
  <si>
    <t>661-700 WPCF Debt</t>
  </si>
  <si>
    <t>661-910 WPCF Benefits</t>
  </si>
  <si>
    <t>190 Public Buildings Utilities</t>
  </si>
  <si>
    <t>244 Sealer of Weights</t>
  </si>
  <si>
    <t>292 Animal Control</t>
  </si>
  <si>
    <t>294 Forest Warden</t>
  </si>
  <si>
    <t>491 Cemeteries</t>
  </si>
  <si>
    <t>691 Historical Commission</t>
  </si>
  <si>
    <t>693 Soldiers Memorials</t>
  </si>
  <si>
    <t>946 General Insurance</t>
  </si>
  <si>
    <t>WPCF Overhead</t>
  </si>
  <si>
    <t>Debt Exclusion Caluclation</t>
  </si>
  <si>
    <t>Police Wages</t>
  </si>
  <si>
    <t>DPW/Sewer Wages</t>
  </si>
  <si>
    <t>NAGE &amp; Non-Union Wages</t>
  </si>
  <si>
    <t>Split Dept Service</t>
  </si>
  <si>
    <t>Combined Debt Schedule</t>
  </si>
  <si>
    <t>Kearsarge Lease</t>
  </si>
  <si>
    <t>Wages by Position</t>
  </si>
  <si>
    <t>Report to Town Meeting</t>
  </si>
  <si>
    <t>Wages and Benefits</t>
  </si>
  <si>
    <t>Charts for Report</t>
  </si>
  <si>
    <t>Revenue Allocation Chart</t>
  </si>
  <si>
    <t>422 DPW-Streets/Maintenance</t>
  </si>
  <si>
    <t>updated GM debt per JB</t>
  </si>
  <si>
    <t>incr based on Hx</t>
  </si>
  <si>
    <t>updated DPW 2nd Debt Service</t>
  </si>
  <si>
    <t>rec'd</t>
  </si>
  <si>
    <t>dropped 1 license - to 159</t>
  </si>
  <si>
    <t>Executive Assistant FT as of 7/1/20</t>
  </si>
  <si>
    <t>contractual</t>
  </si>
  <si>
    <t>reflects usage</t>
  </si>
  <si>
    <t>shifted to electricity line</t>
  </si>
  <si>
    <t>rate increase</t>
  </si>
  <si>
    <t>expected price increase</t>
  </si>
  <si>
    <t>State Aid requirement</t>
  </si>
  <si>
    <t>reflects recent usage</t>
  </si>
  <si>
    <t>General</t>
  </si>
  <si>
    <t>Dept Budgets</t>
  </si>
  <si>
    <t>Background/Details</t>
  </si>
  <si>
    <t>Report Information</t>
  </si>
  <si>
    <t>Dept # 480</t>
  </si>
  <si>
    <t>Charging Stations</t>
  </si>
  <si>
    <t>TOTAL CHARGING STATIONS</t>
  </si>
  <si>
    <t>Station Warranty</t>
  </si>
  <si>
    <t>Network Service Fee</t>
  </si>
  <si>
    <t>New budget</t>
  </si>
  <si>
    <t>480 Charging Stations</t>
  </si>
  <si>
    <t>CHARGING STATIONS</t>
  </si>
  <si>
    <t>D5</t>
  </si>
  <si>
    <t>2-step increase for FY21</t>
  </si>
  <si>
    <t>D3 to D5</t>
  </si>
  <si>
    <t>16 hr/bi-weekly</t>
  </si>
  <si>
    <t>new solar</t>
  </si>
  <si>
    <t>cost to heat/equip</t>
  </si>
  <si>
    <t>repairs</t>
  </si>
  <si>
    <t>continute LED replacement</t>
  </si>
  <si>
    <t>no need</t>
  </si>
  <si>
    <t>bills to be mailed</t>
  </si>
  <si>
    <t>replace stock items</t>
  </si>
  <si>
    <t>additional meetings</t>
  </si>
  <si>
    <t>increase coverage limits</t>
  </si>
  <si>
    <t>FY21 Operating Revenues: Net Levy less excluded debt + actual State Aid + local estimated receipts</t>
  </si>
  <si>
    <t>Sheffield Library Wall</t>
  </si>
  <si>
    <t>FY21 Minimum</t>
  </si>
  <si>
    <t>contract-steps/cola</t>
  </si>
  <si>
    <t>contract</t>
  </si>
  <si>
    <t>software increase</t>
  </si>
  <si>
    <t>fees to increase 1/1/20</t>
  </si>
  <si>
    <t>increased cyclical inspections</t>
  </si>
  <si>
    <t>cyclical inspections costs</t>
  </si>
  <si>
    <t>new staff - lower step</t>
  </si>
  <si>
    <t>eliminated position</t>
  </si>
  <si>
    <t>only using 2 licenses</t>
  </si>
  <si>
    <t>from 1/2 time to full time</t>
  </si>
  <si>
    <t>no longer shared with P/C</t>
  </si>
  <si>
    <t>nurse $45/hr, no benefits</t>
  </si>
  <si>
    <t>Treasury &amp; Collections Spec (35/wk)</t>
  </si>
  <si>
    <t>steps,COLAs, training overlap</t>
  </si>
  <si>
    <t>new employee + gap</t>
  </si>
  <si>
    <t>retirement</t>
  </si>
  <si>
    <t>ad for replacement staff</t>
  </si>
  <si>
    <t>as directed</t>
  </si>
  <si>
    <t>aligning with FY20 YTD</t>
  </si>
  <si>
    <t>one additional meal per month</t>
  </si>
  <si>
    <t>using grant funds</t>
  </si>
  <si>
    <t>now includes Asst Town Clerk</t>
  </si>
  <si>
    <t>Laborer                                          AK</t>
  </si>
  <si>
    <t>Admin Asst</t>
  </si>
  <si>
    <t>Election Workers - Early Voting</t>
  </si>
  <si>
    <t>rounded up for yearly audit</t>
  </si>
  <si>
    <t>no more ballot boxes to fix</t>
  </si>
  <si>
    <t xml:space="preserve">no more  elections in schools </t>
  </si>
  <si>
    <t>electronic ballot printing/6 prec's</t>
  </si>
  <si>
    <t>For optical scanners</t>
  </si>
  <si>
    <t>postage increase five cents</t>
  </si>
  <si>
    <t xml:space="preserve">Election supplies are expensive </t>
  </si>
  <si>
    <t>reflects current spending</t>
  </si>
  <si>
    <t>new building</t>
  </si>
  <si>
    <t>large aging trees needing</t>
  </si>
  <si>
    <t>professional removal</t>
  </si>
  <si>
    <t>no retirements</t>
  </si>
  <si>
    <t>rental contract is gone</t>
  </si>
  <si>
    <t>contract increase</t>
  </si>
  <si>
    <t>Contractual increase</t>
  </si>
  <si>
    <t>Standard raise for camp personnel reflecting increase in state minimum wage</t>
  </si>
  <si>
    <t>FY20 Staffing</t>
  </si>
  <si>
    <t>FY21 Requested Staffing</t>
  </si>
  <si>
    <t>Assistant Planner</t>
  </si>
  <si>
    <t>Contractual, Staff changes</t>
  </si>
  <si>
    <t>loss of Anne Stuart</t>
  </si>
  <si>
    <t>staff changes</t>
  </si>
  <si>
    <t>not proposed</t>
  </si>
  <si>
    <t>cover professional development of PA and Board members</t>
  </si>
  <si>
    <t>cover travel expense of PA and Board members</t>
  </si>
  <si>
    <t>Coordinator Stipend</t>
  </si>
  <si>
    <t>Millers Falls Overage Charge</t>
  </si>
  <si>
    <t>added additional benefits for new AA. $18,850 Hins, increased Medicare, life ins ok as is.</t>
  </si>
  <si>
    <t>3 TMs, 4 elections + primaries @ $20 each</t>
  </si>
  <si>
    <t>COLAs, made EA Full Time</t>
  </si>
  <si>
    <t>EA to Full Time</t>
  </si>
  <si>
    <t>no travel for procurement PD</t>
  </si>
  <si>
    <t>trimming based on past use</t>
  </si>
  <si>
    <t>experience allows decrease</t>
  </si>
  <si>
    <t>expect adj to some memberships</t>
  </si>
  <si>
    <t>3 yr contracts largely complete</t>
  </si>
  <si>
    <t>increase based on current monthly costs</t>
  </si>
  <si>
    <t xml:space="preserve">UPVVS data, includes </t>
  </si>
  <si>
    <t xml:space="preserve">assume 3.5% increase </t>
  </si>
  <si>
    <t>assume 3.5% increase</t>
  </si>
  <si>
    <t>FCSWMD new office lease</t>
  </si>
  <si>
    <t>increased based on Town EQV</t>
  </si>
  <si>
    <t>reduced staff included in assessment calculation</t>
  </si>
  <si>
    <t>based on expected final FY20 cost</t>
  </si>
  <si>
    <t>anticipated rate increase, add back for new AA</t>
  </si>
  <si>
    <t>new DPW and empty old DPW costs</t>
  </si>
  <si>
    <t>cushion against actual</t>
  </si>
  <si>
    <t>no longer required by contract</t>
  </si>
  <si>
    <t>ommited from FY20 budget in error</t>
  </si>
  <si>
    <t>no longer doing routine custodial</t>
  </si>
  <si>
    <t>as per debt schedule</t>
  </si>
  <si>
    <t>Totals</t>
  </si>
  <si>
    <t>Millers Falls Overage</t>
  </si>
  <si>
    <t>no one in academy in FY21</t>
  </si>
  <si>
    <t>increased costs/user fees</t>
  </si>
  <si>
    <t>will now come from task force</t>
  </si>
  <si>
    <t>B3</t>
  </si>
  <si>
    <t>Steps &amp; COLAs per contracts</t>
  </si>
  <si>
    <t>increase per new contract</t>
  </si>
  <si>
    <t>to account for wage increases</t>
  </si>
  <si>
    <t>use trending downward</t>
  </si>
  <si>
    <t>2 new hires at lower rates</t>
  </si>
  <si>
    <t>offset steps/COLAs</t>
  </si>
  <si>
    <t>based on previous cost</t>
  </si>
  <si>
    <t>% pay increase</t>
  </si>
  <si>
    <t>based on this year's use</t>
  </si>
  <si>
    <t>based on 2019 actual cost</t>
  </si>
  <si>
    <t>anticipated incr in disposal cost</t>
  </si>
  <si>
    <t>aging equip needs replacement</t>
  </si>
  <si>
    <t xml:space="preserve"> FCTS SRO Reimb newest patrolman</t>
  </si>
  <si>
    <t xml:space="preserve">Truck Driver/Laborer               </t>
  </si>
  <si>
    <t>FY21 NAGE and Non-Union Wage Scale = FY20+1.5%</t>
  </si>
  <si>
    <t>FY20 NAGE and Non-Union Wage Scale = FY19+1% + new step (2.5%)</t>
  </si>
  <si>
    <t>expect larger reports, price ^</t>
  </si>
  <si>
    <t>allow more training for</t>
  </si>
  <si>
    <t>new members</t>
  </si>
  <si>
    <t>rec'd revised 5174 - no rate increases</t>
  </si>
  <si>
    <t>increased 5800 per answers to FC Questions</t>
  </si>
  <si>
    <t>flat fee</t>
  </si>
  <si>
    <t>updated 5664 &amp; 5665 with final assessment #</t>
  </si>
  <si>
    <t>DPW Discretionary</t>
  </si>
  <si>
    <t>Net of Excluded Town Debt</t>
  </si>
  <si>
    <t>FY21actual assessment is $1,255,456, leaving a shortfall of $150,610.</t>
  </si>
  <si>
    <t>Policy is to fund the shortfall in excess of $10,000 (140,610) from the FCTS Stabilization fund.</t>
  </si>
  <si>
    <t>The current balance of the FCTS Stabilization fund is 46,024 (+51,500 after 7/1/19 = 97,524)</t>
  </si>
  <si>
    <t>GMRSD Bldg Assessment Study - Hillcrest</t>
  </si>
  <si>
    <t>GMRSD Bldg Assessment Study - Sheffield</t>
  </si>
  <si>
    <t>GMRSD Bldg Assessment Study - TFHS</t>
  </si>
  <si>
    <t>Family Hins at $1595/mo</t>
  </si>
  <si>
    <t>Resurface Tennis Courts</t>
  </si>
  <si>
    <t>GM Brick/Concrete Repair Admin Bldg</t>
  </si>
  <si>
    <t>COA Roof Replacement</t>
  </si>
  <si>
    <t>Stair and walking path repairs</t>
  </si>
  <si>
    <t>WPCF  Fine Bubble Diffuser</t>
  </si>
  <si>
    <t>WPCF Replace Primary Sludge Pump #2</t>
  </si>
  <si>
    <t>Debt to Operating Ratio</t>
  </si>
  <si>
    <t>With School Assessments</t>
  </si>
  <si>
    <t>Without School Assessments</t>
  </si>
  <si>
    <t>both exclude debt from operating expenses</t>
  </si>
  <si>
    <t>CIC 80K</t>
  </si>
  <si>
    <t>CIC w/res</t>
  </si>
  <si>
    <t>Hillcrest Façade &amp; Roof</t>
  </si>
  <si>
    <t>Add'l for WPCF Oil Tank/Vault Removal</t>
  </si>
  <si>
    <t>CO-S RE</t>
  </si>
  <si>
    <t>Airport Grant Local Match</t>
  </si>
  <si>
    <t>New</t>
  </si>
  <si>
    <t>Res for Excluded Debt</t>
  </si>
  <si>
    <t xml:space="preserve">  Reserve for Excluded Debt</t>
  </si>
  <si>
    <t>Add'l to Town Cap Stab</t>
  </si>
  <si>
    <t>Reduction of normal to Town Cap Stab</t>
  </si>
  <si>
    <t>Add'l Appropriation to OPEB</t>
  </si>
  <si>
    <t>H5</t>
  </si>
  <si>
    <t>Superinendent                                CL</t>
  </si>
  <si>
    <t>Selectboard</t>
  </si>
  <si>
    <t>partial year</t>
  </si>
  <si>
    <t>25 hrs/wk, partial year</t>
  </si>
  <si>
    <t>hrs change mid year</t>
  </si>
  <si>
    <t>Admin Assistant</t>
  </si>
  <si>
    <t>GMRSD Entry Canopy</t>
  </si>
  <si>
    <t>Hillcrest Roof</t>
  </si>
  <si>
    <t>COA Chimney</t>
  </si>
  <si>
    <t>Hillcrest Façade</t>
  </si>
  <si>
    <t>COA Roof</t>
  </si>
  <si>
    <t>Walking Paths</t>
  </si>
  <si>
    <t>TFHS Tennis Courts</t>
  </si>
  <si>
    <t>COA Roof/Chimney</t>
  </si>
  <si>
    <t>Hillcrest Roof/Façade</t>
  </si>
  <si>
    <t>COLA</t>
  </si>
  <si>
    <t>annual increase</t>
  </si>
  <si>
    <t>price increase</t>
  </si>
  <si>
    <t>to match needs</t>
  </si>
  <si>
    <t>FY20 purchased printer</t>
  </si>
  <si>
    <t>IT consultant spending more and more time, and there are more and more new things to address.</t>
  </si>
  <si>
    <t>more time needed</t>
  </si>
  <si>
    <t>price increase FY21</t>
  </si>
  <si>
    <t>Police Chief</t>
  </si>
  <si>
    <t>Lieutenant</t>
  </si>
  <si>
    <t xml:space="preserve">Sergeant </t>
  </si>
  <si>
    <t xml:space="preserve">Detective </t>
  </si>
  <si>
    <t xml:space="preserve">K9 Patrolman </t>
  </si>
  <si>
    <t xml:space="preserve">Patrolman </t>
  </si>
  <si>
    <t xml:space="preserve">Patrolman  </t>
  </si>
  <si>
    <t xml:space="preserve">Communications Officer F/T </t>
  </si>
  <si>
    <t xml:space="preserve">Superintendent                        </t>
  </si>
  <si>
    <t xml:space="preserve">Office Manager                         </t>
  </si>
  <si>
    <t xml:space="preserve">Working Foreman                    </t>
  </si>
  <si>
    <t xml:space="preserve">Shop Foreman                          </t>
  </si>
  <si>
    <t xml:space="preserve">Lead Mechanic                                 </t>
  </si>
  <si>
    <t xml:space="preserve">Building Maintenenance           </t>
  </si>
  <si>
    <t xml:space="preserve">Building Maintenenance             </t>
  </si>
  <si>
    <t xml:space="preserve">Custodian                                   </t>
  </si>
  <si>
    <t xml:space="preserve">Grounds Maintenance            </t>
  </si>
  <si>
    <t xml:space="preserve">Grounds Maintenance               </t>
  </si>
  <si>
    <t xml:space="preserve">Landfill Assistant 14 hrs/wk   </t>
  </si>
  <si>
    <t xml:space="preserve">Heavy Equipment Oper         </t>
  </si>
  <si>
    <t xml:space="preserve">Heavy Equipment Oper        </t>
  </si>
  <si>
    <t xml:space="preserve">Truck Driver/Laborer            </t>
  </si>
  <si>
    <t>11/10/19</t>
  </si>
  <si>
    <t>1/5/20</t>
  </si>
  <si>
    <t xml:space="preserve">Children's Librarian </t>
  </si>
  <si>
    <t xml:space="preserve">Library Assistant I   </t>
  </si>
  <si>
    <t xml:space="preserve">Childrens' Asst </t>
  </si>
  <si>
    <t xml:space="preserve">Library Assistant I SS </t>
  </si>
  <si>
    <t>FY20 includes $130K voted March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</si>
</sst>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1" formatCode="_(* #,##0_);_(* \(#,##0\);_(* &quot;-&quot;_);_(@_)"/>
    <numFmt numFmtId="43" formatCode="_(* #,##0.00_);_(* \(#,##0.00\);_(* &quot;-&quot;??_);_(@_)"/>
    <numFmt numFmtId="164" formatCode="_(* #,##0_);_(* \(#,##0\);_(* \-_);_(@_)"/>
    <numFmt numFmtId="165" formatCode="[$$-409]#,##0;[Red]\-[$$-409]#,##0"/>
    <numFmt numFmtId="166" formatCode="_(* #,##0.00_);_(* \(#,##0.00\);_(* \-??_);_(@_)"/>
    <numFmt numFmtId="167" formatCode="_(* #,##0.00_);_(* \(#,##0.00\);_(* &quot;-&quot;_);_(@_)"/>
    <numFmt numFmtId="168" formatCode="_(* #,##0_);_(* \(#,##0\);_(* &quot;-&quot;??_);_(@_)"/>
    <numFmt numFmtId="169" formatCode="0.0%"/>
  </numFmts>
  <fonts count="54" x14ac:knownFonts="1">
    <font>
      <sz val="10"/>
      <name val="Times New Roman"/>
    </font>
    <font>
      <sz val="11"/>
      <color theme="1"/>
      <name val="Arial"/>
      <family val="2"/>
      <scheme val="minor"/>
    </font>
    <font>
      <sz val="10"/>
      <name val="Times New Roman"/>
      <family val="1"/>
    </font>
    <font>
      <sz val="10"/>
      <name val="Arial"/>
      <family val="2"/>
    </font>
    <font>
      <b/>
      <sz val="10"/>
      <name val="Arial"/>
      <family val="2"/>
    </font>
    <font>
      <sz val="11"/>
      <name val="Arial"/>
      <family val="2"/>
    </font>
    <font>
      <b/>
      <sz val="11"/>
      <name val="Arial"/>
      <family val="2"/>
    </font>
    <font>
      <b/>
      <u/>
      <sz val="10"/>
      <name val="Times New Roman"/>
      <family val="1"/>
    </font>
    <font>
      <b/>
      <sz val="10"/>
      <name val="Times New Roman"/>
      <family val="1"/>
    </font>
    <font>
      <sz val="10"/>
      <name val="Times New Roman"/>
      <family val="1"/>
    </font>
    <font>
      <sz val="10"/>
      <name val="Times New Roman"/>
      <family val="1"/>
    </font>
    <font>
      <b/>
      <sz val="10"/>
      <color indexed="8"/>
      <name val="Arial"/>
      <family val="2"/>
    </font>
    <font>
      <sz val="10"/>
      <color indexed="8"/>
      <name val="Arial"/>
      <family val="2"/>
    </font>
    <font>
      <b/>
      <sz val="12"/>
      <name val="Arial"/>
      <family val="2"/>
    </font>
    <font>
      <sz val="14"/>
      <name val="Times New Roman"/>
      <family val="1"/>
    </font>
    <font>
      <sz val="8"/>
      <name val="Times New Roman"/>
      <family val="1"/>
    </font>
    <font>
      <sz val="10"/>
      <name val="Times New Roman"/>
      <family val="1"/>
    </font>
    <font>
      <b/>
      <sz val="11"/>
      <name val="Times New Roman"/>
      <family val="1"/>
    </font>
    <font>
      <b/>
      <sz val="11"/>
      <color indexed="10"/>
      <name val="Times New Roman"/>
      <family val="1"/>
    </font>
    <font>
      <sz val="11"/>
      <name val="Times New Roman"/>
      <family val="1"/>
    </font>
    <font>
      <u/>
      <sz val="11"/>
      <name val="Times New Roman"/>
      <family val="1"/>
    </font>
    <font>
      <b/>
      <sz val="10"/>
      <name val="Microsoft Sans Serif"/>
      <family val="2"/>
    </font>
    <font>
      <b/>
      <sz val="12"/>
      <name val="Times New Roman"/>
      <family val="1"/>
    </font>
    <font>
      <sz val="10"/>
      <name val="Times New Roman"/>
      <family val="1"/>
    </font>
    <font>
      <sz val="10"/>
      <name val="Times New Roman"/>
      <family val="1"/>
    </font>
    <font>
      <sz val="10"/>
      <name val="Times New Roman"/>
      <family val="1"/>
    </font>
    <font>
      <sz val="16"/>
      <name val="Arial"/>
      <family val="2"/>
    </font>
    <font>
      <u val="singleAccounting"/>
      <sz val="10"/>
      <name val="Times New Roman"/>
      <family val="1"/>
    </font>
    <font>
      <sz val="12"/>
      <name val="Times New Roman"/>
      <family val="1"/>
    </font>
    <font>
      <sz val="10"/>
      <name val="Times New Roman"/>
      <family val="1"/>
    </font>
    <font>
      <sz val="12"/>
      <name val="Arial"/>
      <family val="2"/>
    </font>
    <font>
      <sz val="10"/>
      <name val="Times New Roman"/>
      <family val="1"/>
    </font>
    <font>
      <u/>
      <sz val="10"/>
      <name val="Arial"/>
      <family val="2"/>
    </font>
    <font>
      <sz val="11"/>
      <name val="Calibri"/>
      <family val="2"/>
    </font>
    <font>
      <sz val="10"/>
      <name val="Times New Roman"/>
      <family val="1"/>
    </font>
    <font>
      <sz val="11"/>
      <color theme="1"/>
      <name val="Arial"/>
      <family val="2"/>
      <scheme val="minor"/>
    </font>
    <font>
      <u/>
      <sz val="10"/>
      <color theme="10"/>
      <name val="Times New Roman"/>
      <family val="1"/>
    </font>
    <font>
      <sz val="10"/>
      <color rgb="FFFF0000"/>
      <name val="Times New Roman"/>
      <family val="1"/>
    </font>
    <font>
      <u/>
      <sz val="11"/>
      <color theme="1"/>
      <name val="Arial"/>
      <family val="2"/>
      <scheme val="minor"/>
    </font>
    <font>
      <sz val="10"/>
      <color theme="1"/>
      <name val="Times New Roman"/>
      <family val="1"/>
    </font>
    <font>
      <b/>
      <sz val="10"/>
      <color rgb="FFFF0000"/>
      <name val="Times New Roman"/>
      <family val="1"/>
    </font>
    <font>
      <sz val="11"/>
      <color rgb="FF1F497D"/>
      <name val="Calibri"/>
      <family val="2"/>
    </font>
    <font>
      <u/>
      <sz val="11"/>
      <color rgb="FF000000"/>
      <name val="Calibri"/>
      <family val="2"/>
    </font>
    <font>
      <b/>
      <sz val="10"/>
      <color theme="1"/>
      <name val="Times New Roman"/>
      <family val="1"/>
    </font>
    <font>
      <b/>
      <sz val="10"/>
      <name val="Times New Roman"/>
      <family val="1"/>
      <charset val="1"/>
    </font>
    <font>
      <b/>
      <sz val="12"/>
      <name val="Arial"/>
      <family val="2"/>
      <charset val="1"/>
    </font>
    <font>
      <sz val="10"/>
      <name val="Arial"/>
      <family val="2"/>
      <charset val="1"/>
    </font>
    <font>
      <b/>
      <sz val="10"/>
      <name val="Arial"/>
      <family val="2"/>
      <charset val="1"/>
    </font>
    <font>
      <strike/>
      <sz val="10"/>
      <name val="Times New Roman"/>
      <family val="1"/>
    </font>
    <font>
      <sz val="9"/>
      <name val="Arial"/>
      <family val="2"/>
    </font>
    <font>
      <b/>
      <sz val="12"/>
      <color theme="1"/>
      <name val="Arial"/>
      <family val="2"/>
    </font>
    <font>
      <b/>
      <u/>
      <sz val="12"/>
      <name val="Arial"/>
      <family val="2"/>
    </font>
    <font>
      <u/>
      <sz val="11"/>
      <name val="Arial"/>
      <family val="2"/>
    </font>
    <font>
      <strike/>
      <sz val="10"/>
      <name val="Arial"/>
      <family val="2"/>
    </font>
  </fonts>
  <fills count="1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6"/>
        <bgColor indexed="64"/>
      </patternFill>
    </fill>
    <fill>
      <patternFill patternType="solid">
        <fgColor theme="4" tint="0.79998168889431442"/>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1"/>
        <bgColor indexed="64"/>
      </patternFill>
    </fill>
  </fills>
  <borders count="54">
    <border>
      <left/>
      <right/>
      <top/>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top/>
      <bottom/>
      <diagonal/>
    </border>
    <border>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s>
  <cellStyleXfs count="6">
    <xf numFmtId="0" fontId="0" fillId="0" borderId="0"/>
    <xf numFmtId="43" fontId="2" fillId="0" borderId="0" applyFont="0" applyFill="0" applyBorder="0" applyAlignment="0" applyProtection="0"/>
    <xf numFmtId="0" fontId="36"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885">
    <xf numFmtId="0" fontId="0" fillId="0" borderId="0" xfId="0"/>
    <xf numFmtId="43" fontId="0" fillId="0" borderId="0" xfId="1" applyFont="1"/>
    <xf numFmtId="41" fontId="0" fillId="0" borderId="0" xfId="0" applyNumberFormat="1"/>
    <xf numFmtId="41" fontId="0" fillId="0" borderId="0" xfId="0" applyNumberFormat="1" applyAlignment="1">
      <alignment horizontal="center"/>
    </xf>
    <xf numFmtId="0" fontId="3" fillId="0" borderId="0" xfId="0" applyFont="1"/>
    <xf numFmtId="0" fontId="4" fillId="0" borderId="1" xfId="0" applyFont="1" applyBorder="1"/>
    <xf numFmtId="0" fontId="4" fillId="0" borderId="2" xfId="0" applyFont="1" applyBorder="1"/>
    <xf numFmtId="0" fontId="4" fillId="0" borderId="3" xfId="0" applyFont="1" applyBorder="1" applyAlignment="1">
      <alignment horizontal="center"/>
    </xf>
    <xf numFmtId="0" fontId="4" fillId="0" borderId="4" xfId="0" applyFont="1" applyBorder="1"/>
    <xf numFmtId="0" fontId="4" fillId="0" borderId="5" xfId="0"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3" fillId="0" borderId="9" xfId="0" applyFont="1" applyBorder="1"/>
    <xf numFmtId="0" fontId="3" fillId="0" borderId="10" xfId="0" applyFont="1" applyBorder="1"/>
    <xf numFmtId="43" fontId="3" fillId="0" borderId="11" xfId="1" applyFont="1" applyBorder="1"/>
    <xf numFmtId="41" fontId="3" fillId="0" borderId="11" xfId="0" applyNumberFormat="1" applyFont="1" applyBorder="1"/>
    <xf numFmtId="43" fontId="3" fillId="0" borderId="12" xfId="1" applyFont="1" applyBorder="1"/>
    <xf numFmtId="41" fontId="3" fillId="0" borderId="12" xfId="0" applyNumberFormat="1" applyFont="1" applyBorder="1"/>
    <xf numFmtId="0" fontId="4" fillId="0" borderId="10" xfId="0" applyFont="1" applyBorder="1"/>
    <xf numFmtId="43" fontId="3" fillId="0" borderId="8" xfId="1" applyFont="1" applyBorder="1"/>
    <xf numFmtId="41" fontId="3" fillId="0" borderId="8" xfId="0" applyNumberFormat="1" applyFont="1" applyBorder="1"/>
    <xf numFmtId="0" fontId="3" fillId="0" borderId="13" xfId="0" applyFont="1" applyBorder="1"/>
    <xf numFmtId="0" fontId="4" fillId="0" borderId="14" xfId="0" applyFont="1" applyBorder="1"/>
    <xf numFmtId="43" fontId="3" fillId="0" borderId="15" xfId="1" applyFont="1" applyBorder="1"/>
    <xf numFmtId="41" fontId="3" fillId="0" borderId="15" xfId="0" applyNumberFormat="1" applyFont="1" applyBorder="1"/>
    <xf numFmtId="43" fontId="3" fillId="0" borderId="0" xfId="1" applyFont="1"/>
    <xf numFmtId="43" fontId="3" fillId="0" borderId="0" xfId="1" applyFont="1" applyBorder="1"/>
    <xf numFmtId="41" fontId="3" fillId="0" borderId="0" xfId="0" applyNumberFormat="1" applyFont="1" applyBorder="1"/>
    <xf numFmtId="0" fontId="3" fillId="0" borderId="0" xfId="0" applyFont="1" applyBorder="1"/>
    <xf numFmtId="41" fontId="3" fillId="0" borderId="0" xfId="0" applyNumberFormat="1" applyFont="1"/>
    <xf numFmtId="0" fontId="3" fillId="0" borderId="6" xfId="0" applyFont="1" applyBorder="1"/>
    <xf numFmtId="0" fontId="3" fillId="0" borderId="7" xfId="0" applyFont="1" applyBorder="1"/>
    <xf numFmtId="43" fontId="3" fillId="0" borderId="16" xfId="1" applyFont="1" applyBorder="1"/>
    <xf numFmtId="41" fontId="3" fillId="0" borderId="16" xfId="0" applyNumberFormat="1" applyFont="1" applyBorder="1"/>
    <xf numFmtId="43" fontId="3" fillId="0" borderId="17" xfId="1" applyFont="1" applyBorder="1"/>
    <xf numFmtId="41" fontId="3" fillId="0" borderId="17" xfId="0" applyNumberFormat="1" applyFont="1" applyBorder="1"/>
    <xf numFmtId="41" fontId="3" fillId="0" borderId="10" xfId="0" applyNumberFormat="1" applyFont="1" applyBorder="1"/>
    <xf numFmtId="41" fontId="4" fillId="0" borderId="8" xfId="0" applyNumberFormat="1" applyFont="1" applyBorder="1" applyAlignment="1">
      <alignment horizontal="center"/>
    </xf>
    <xf numFmtId="41" fontId="3" fillId="0" borderId="8" xfId="1" applyNumberFormat="1" applyFont="1" applyBorder="1"/>
    <xf numFmtId="43" fontId="3" fillId="0" borderId="18" xfId="1" applyFont="1" applyBorder="1"/>
    <xf numFmtId="41" fontId="3" fillId="0" borderId="18" xfId="0" applyNumberFormat="1" applyFont="1" applyBorder="1"/>
    <xf numFmtId="43" fontId="3" fillId="0" borderId="19" xfId="1" applyFont="1" applyBorder="1"/>
    <xf numFmtId="41" fontId="3" fillId="0" borderId="19" xfId="0" applyNumberFormat="1" applyFont="1" applyBorder="1"/>
    <xf numFmtId="41" fontId="3" fillId="0" borderId="15" xfId="1" applyNumberFormat="1" applyFont="1" applyBorder="1"/>
    <xf numFmtId="41" fontId="3" fillId="0" borderId="11" xfId="1" applyNumberFormat="1" applyFont="1" applyBorder="1"/>
    <xf numFmtId="41" fontId="3" fillId="0" borderId="12" xfId="1" applyNumberFormat="1" applyFont="1" applyBorder="1"/>
    <xf numFmtId="41" fontId="3" fillId="0" borderId="10" xfId="1" applyNumberFormat="1" applyFont="1" applyBorder="1"/>
    <xf numFmtId="0" fontId="3" fillId="0" borderId="20" xfId="0" applyFont="1" applyBorder="1" applyAlignment="1">
      <alignment horizontal="center"/>
    </xf>
    <xf numFmtId="0" fontId="3" fillId="0" borderId="21" xfId="0" applyFont="1" applyBorder="1"/>
    <xf numFmtId="0" fontId="5" fillId="0" borderId="0" xfId="0" applyFont="1"/>
    <xf numFmtId="0" fontId="6" fillId="0" borderId="0" xfId="0" applyFont="1"/>
    <xf numFmtId="0" fontId="4" fillId="0" borderId="16" xfId="0" applyFont="1" applyBorder="1" applyAlignment="1">
      <alignment horizontal="center"/>
    </xf>
    <xf numFmtId="0" fontId="3" fillId="0" borderId="22" xfId="0" applyFont="1" applyBorder="1" applyAlignment="1">
      <alignment horizontal="center"/>
    </xf>
    <xf numFmtId="41" fontId="3" fillId="0" borderId="23" xfId="0" applyNumberFormat="1" applyFont="1" applyBorder="1" applyAlignment="1">
      <alignment horizontal="center"/>
    </xf>
    <xf numFmtId="0" fontId="3" fillId="0" borderId="24" xfId="0" applyFont="1" applyBorder="1"/>
    <xf numFmtId="0" fontId="4" fillId="0" borderId="24" xfId="0" applyFont="1" applyBorder="1"/>
    <xf numFmtId="0" fontId="4" fillId="0" borderId="25" xfId="0" applyFont="1" applyBorder="1"/>
    <xf numFmtId="0" fontId="3" fillId="0" borderId="0" xfId="0" applyFont="1" applyAlignment="1">
      <alignment horizontal="right"/>
    </xf>
    <xf numFmtId="41" fontId="0" fillId="0" borderId="26" xfId="0" applyNumberFormat="1" applyBorder="1"/>
    <xf numFmtId="41" fontId="0" fillId="0" borderId="0" xfId="0" applyNumberFormat="1" applyBorder="1"/>
    <xf numFmtId="41" fontId="0" fillId="0" borderId="27" xfId="0" applyNumberFormat="1" applyBorder="1"/>
    <xf numFmtId="41" fontId="0" fillId="0" borderId="28" xfId="0" applyNumberFormat="1" applyBorder="1"/>
    <xf numFmtId="14" fontId="3" fillId="0" borderId="0" xfId="0" applyNumberFormat="1" applyFont="1"/>
    <xf numFmtId="0" fontId="0" fillId="0" borderId="28" xfId="0" applyBorder="1"/>
    <xf numFmtId="43" fontId="3" fillId="0" borderId="0" xfId="1" quotePrefix="1" applyFont="1"/>
    <xf numFmtId="41" fontId="3" fillId="0" borderId="11" xfId="0" quotePrefix="1" applyNumberFormat="1" applyFont="1" applyBorder="1"/>
    <xf numFmtId="0" fontId="8" fillId="0" borderId="0" xfId="0" applyFont="1"/>
    <xf numFmtId="43" fontId="6" fillId="0" borderId="0" xfId="1" applyFont="1"/>
    <xf numFmtId="43" fontId="4" fillId="0" borderId="8" xfId="1" applyFont="1" applyBorder="1" applyAlignment="1">
      <alignment horizontal="center"/>
    </xf>
    <xf numFmtId="0" fontId="3" fillId="0" borderId="11" xfId="0" applyFont="1" applyBorder="1"/>
    <xf numFmtId="0" fontId="4" fillId="0" borderId="11" xfId="0" applyFont="1" applyBorder="1"/>
    <xf numFmtId="0" fontId="4" fillId="0" borderId="7" xfId="0" applyFont="1" applyBorder="1"/>
    <xf numFmtId="16" fontId="3" fillId="0" borderId="0" xfId="0" applyNumberFormat="1" applyFont="1"/>
    <xf numFmtId="41" fontId="10" fillId="0" borderId="0" xfId="0" applyNumberFormat="1" applyFont="1"/>
    <xf numFmtId="43" fontId="0" fillId="0" borderId="0" xfId="0" applyNumberFormat="1"/>
    <xf numFmtId="41" fontId="0" fillId="0" borderId="0" xfId="1" applyNumberFormat="1" applyFont="1"/>
    <xf numFmtId="0" fontId="0" fillId="0" borderId="18" xfId="0" applyBorder="1"/>
    <xf numFmtId="0" fontId="0" fillId="0" borderId="8" xfId="0" applyBorder="1"/>
    <xf numFmtId="0" fontId="0" fillId="0" borderId="7" xfId="0" applyBorder="1"/>
    <xf numFmtId="0" fontId="0" fillId="0" borderId="11" xfId="0" applyBorder="1"/>
    <xf numFmtId="14" fontId="0" fillId="0" borderId="11" xfId="0" applyNumberFormat="1" applyBorder="1"/>
    <xf numFmtId="43" fontId="0" fillId="0" borderId="11" xfId="1" applyFont="1" applyBorder="1"/>
    <xf numFmtId="0" fontId="11" fillId="0" borderId="8" xfId="0" applyFont="1" applyBorder="1" applyAlignment="1">
      <alignment horizontal="center"/>
    </xf>
    <xf numFmtId="41" fontId="12" fillId="0" borderId="11" xfId="0" applyNumberFormat="1" applyFont="1" applyBorder="1"/>
    <xf numFmtId="41" fontId="3" fillId="0" borderId="0" xfId="1" applyNumberFormat="1" applyFont="1"/>
    <xf numFmtId="0" fontId="4" fillId="0" borderId="0" xfId="0" applyFont="1"/>
    <xf numFmtId="43" fontId="4" fillId="0" borderId="0" xfId="1" applyFont="1"/>
    <xf numFmtId="0" fontId="9" fillId="0" borderId="0" xfId="0" applyFont="1"/>
    <xf numFmtId="0" fontId="4" fillId="0" borderId="30" xfId="0" applyFont="1" applyBorder="1" applyAlignment="1">
      <alignment horizontal="center"/>
    </xf>
    <xf numFmtId="0" fontId="4" fillId="0" borderId="30" xfId="0" applyFont="1" applyBorder="1"/>
    <xf numFmtId="0" fontId="4" fillId="0" borderId="0" xfId="0" applyFont="1" applyBorder="1"/>
    <xf numFmtId="0" fontId="4" fillId="0" borderId="31" xfId="0" applyFont="1" applyBorder="1" applyAlignment="1">
      <alignment horizontal="center"/>
    </xf>
    <xf numFmtId="41" fontId="4" fillId="0" borderId="31" xfId="0" applyNumberFormat="1" applyFont="1" applyBorder="1" applyAlignment="1">
      <alignment horizontal="center"/>
    </xf>
    <xf numFmtId="0" fontId="4" fillId="0" borderId="32" xfId="0" applyFont="1" applyBorder="1"/>
    <xf numFmtId="43" fontId="4" fillId="0" borderId="16" xfId="1"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41" fontId="4" fillId="0" borderId="16" xfId="0" applyNumberFormat="1" applyFont="1" applyBorder="1" applyAlignment="1">
      <alignment horizontal="center"/>
    </xf>
    <xf numFmtId="41" fontId="4" fillId="0" borderId="20" xfId="0" applyNumberFormat="1" applyFont="1" applyBorder="1" applyAlignment="1">
      <alignment horizontal="center"/>
    </xf>
    <xf numFmtId="41" fontId="3" fillId="0" borderId="33" xfId="0" applyNumberFormat="1" applyFont="1" applyBorder="1"/>
    <xf numFmtId="0" fontId="4" fillId="0" borderId="33" xfId="0" applyFont="1" applyBorder="1" applyAlignment="1">
      <alignment horizontal="center"/>
    </xf>
    <xf numFmtId="0" fontId="0" fillId="0" borderId="0" xfId="0" applyBorder="1"/>
    <xf numFmtId="0" fontId="3" fillId="0" borderId="0" xfId="0" applyFont="1" applyFill="1"/>
    <xf numFmtId="41" fontId="3" fillId="0" borderId="0" xfId="0" applyNumberFormat="1" applyFont="1" applyFill="1"/>
    <xf numFmtId="41" fontId="3" fillId="0" borderId="18" xfId="1" applyNumberFormat="1" applyFont="1" applyBorder="1"/>
    <xf numFmtId="0" fontId="3" fillId="0" borderId="12" xfId="0" applyFont="1" applyBorder="1"/>
    <xf numFmtId="0" fontId="3" fillId="0" borderId="34" xfId="0" applyFont="1" applyBorder="1"/>
    <xf numFmtId="43" fontId="3" fillId="0" borderId="23" xfId="1" applyFont="1" applyBorder="1" applyAlignment="1">
      <alignment horizontal="center"/>
    </xf>
    <xf numFmtId="43" fontId="3" fillId="0" borderId="11" xfId="1" quotePrefix="1" applyFont="1" applyBorder="1"/>
    <xf numFmtId="43" fontId="3" fillId="0" borderId="10" xfId="1" applyFont="1" applyBorder="1"/>
    <xf numFmtId="43" fontId="3" fillId="0" borderId="7" xfId="1" applyFont="1" applyBorder="1"/>
    <xf numFmtId="43" fontId="11" fillId="0" borderId="8" xfId="1" applyFont="1" applyBorder="1" applyAlignment="1">
      <alignment horizontal="center"/>
    </xf>
    <xf numFmtId="43" fontId="3" fillId="0" borderId="0" xfId="1" applyFont="1" applyFill="1"/>
    <xf numFmtId="0" fontId="3" fillId="0" borderId="35" xfId="0" applyFont="1" applyBorder="1"/>
    <xf numFmtId="0" fontId="0" fillId="0" borderId="3" xfId="0" applyBorder="1"/>
    <xf numFmtId="0" fontId="3" fillId="0" borderId="36" xfId="0" applyFont="1" applyBorder="1"/>
    <xf numFmtId="0" fontId="3" fillId="0" borderId="5" xfId="0" applyFont="1" applyBorder="1"/>
    <xf numFmtId="0" fontId="3" fillId="0" borderId="8" xfId="0" applyFont="1" applyBorder="1"/>
    <xf numFmtId="43" fontId="4" fillId="0" borderId="0" xfId="1" applyFont="1" applyBorder="1" applyAlignment="1">
      <alignment horizontal="center"/>
    </xf>
    <xf numFmtId="43" fontId="4" fillId="0" borderId="37" xfId="1" applyFont="1" applyBorder="1" applyAlignment="1">
      <alignment horizontal="center"/>
    </xf>
    <xf numFmtId="43" fontId="4" fillId="0" borderId="38" xfId="1" applyFont="1" applyBorder="1" applyAlignment="1">
      <alignment horizontal="center"/>
    </xf>
    <xf numFmtId="43" fontId="9" fillId="0" borderId="0" xfId="1" applyFont="1"/>
    <xf numFmtId="0" fontId="3" fillId="0" borderId="32" xfId="0" applyFont="1" applyBorder="1"/>
    <xf numFmtId="0" fontId="3" fillId="0" borderId="16" xfId="0" applyFont="1" applyBorder="1" applyAlignment="1">
      <alignment horizontal="center"/>
    </xf>
    <xf numFmtId="41" fontId="8" fillId="0" borderId="0" xfId="0" applyNumberFormat="1" applyFont="1"/>
    <xf numFmtId="0" fontId="3" fillId="0" borderId="39" xfId="0" applyFont="1" applyBorder="1"/>
    <xf numFmtId="0" fontId="4" fillId="0" borderId="40" xfId="0" applyFont="1" applyBorder="1"/>
    <xf numFmtId="43" fontId="3" fillId="0" borderId="41" xfId="1" applyFont="1" applyBorder="1"/>
    <xf numFmtId="43" fontId="3" fillId="0" borderId="40" xfId="1" applyFont="1" applyBorder="1"/>
    <xf numFmtId="43" fontId="3" fillId="0" borderId="42" xfId="1" applyFont="1" applyBorder="1"/>
    <xf numFmtId="0" fontId="0" fillId="0" borderId="0" xfId="0" applyFill="1"/>
    <xf numFmtId="0" fontId="9" fillId="0" borderId="0" xfId="0" applyFont="1" applyFill="1"/>
    <xf numFmtId="41" fontId="3" fillId="0" borderId="11" xfId="0" applyNumberFormat="1" applyFont="1" applyFill="1" applyBorder="1"/>
    <xf numFmtId="41" fontId="3" fillId="0" borderId="12" xfId="0" applyNumberFormat="1" applyFont="1" applyFill="1" applyBorder="1"/>
    <xf numFmtId="41" fontId="3" fillId="0" borderId="8" xfId="0" applyNumberFormat="1" applyFont="1" applyFill="1" applyBorder="1"/>
    <xf numFmtId="41" fontId="3" fillId="0" borderId="18" xfId="0" applyNumberFormat="1" applyFont="1" applyFill="1" applyBorder="1"/>
    <xf numFmtId="43" fontId="3" fillId="0" borderId="8" xfId="1" applyFont="1" applyFill="1" applyBorder="1"/>
    <xf numFmtId="43" fontId="4" fillId="0" borderId="20" xfId="1" applyFont="1" applyBorder="1" applyAlignment="1">
      <alignment horizontal="center"/>
    </xf>
    <xf numFmtId="43" fontId="4" fillId="0" borderId="31" xfId="1" applyFont="1" applyBorder="1" applyAlignment="1">
      <alignment horizontal="center"/>
    </xf>
    <xf numFmtId="43" fontId="4" fillId="0" borderId="33" xfId="1" applyFont="1" applyBorder="1" applyAlignment="1">
      <alignment horizontal="center"/>
    </xf>
    <xf numFmtId="43" fontId="3" fillId="0" borderId="24" xfId="1" applyFont="1" applyBorder="1"/>
    <xf numFmtId="43" fontId="3" fillId="0" borderId="43" xfId="1" applyFont="1" applyBorder="1"/>
    <xf numFmtId="43" fontId="3" fillId="0" borderId="33" xfId="1" applyFont="1" applyBorder="1"/>
    <xf numFmtId="43" fontId="3" fillId="0" borderId="16" xfId="1" applyFont="1" applyBorder="1" applyAlignment="1">
      <alignment horizontal="center"/>
    </xf>
    <xf numFmtId="43" fontId="0" fillId="0" borderId="0" xfId="1" applyFont="1" applyBorder="1"/>
    <xf numFmtId="14" fontId="4" fillId="0" borderId="5" xfId="1" applyNumberFormat="1" applyFont="1" applyBorder="1" applyAlignment="1">
      <alignment horizontal="center"/>
    </xf>
    <xf numFmtId="14" fontId="4" fillId="0" borderId="30" xfId="1" applyNumberFormat="1" applyFont="1" applyBorder="1" applyAlignment="1">
      <alignment horizontal="center"/>
    </xf>
    <xf numFmtId="41" fontId="3" fillId="2" borderId="8" xfId="0" applyNumberFormat="1" applyFont="1" applyFill="1" applyBorder="1"/>
    <xf numFmtId="0" fontId="0" fillId="0" borderId="0" xfId="0" applyFill="1" applyBorder="1"/>
    <xf numFmtId="10" fontId="0" fillId="0" borderId="0" xfId="0" applyNumberFormat="1"/>
    <xf numFmtId="0" fontId="0" fillId="0" borderId="0" xfId="0" applyAlignment="1">
      <alignment horizontal="center"/>
    </xf>
    <xf numFmtId="41" fontId="0" fillId="0" borderId="0" xfId="1" applyNumberFormat="1" applyFont="1" applyAlignment="1">
      <alignment horizontal="center"/>
    </xf>
    <xf numFmtId="41" fontId="0" fillId="0" borderId="28" xfId="1" applyNumberFormat="1" applyFont="1" applyBorder="1"/>
    <xf numFmtId="43" fontId="5" fillId="0" borderId="0" xfId="1" applyFont="1"/>
    <xf numFmtId="41" fontId="3" fillId="0" borderId="16" xfId="0" applyNumberFormat="1" applyFont="1" applyFill="1" applyBorder="1"/>
    <xf numFmtId="43" fontId="4" fillId="0" borderId="11" xfId="1" applyFont="1" applyBorder="1"/>
    <xf numFmtId="43" fontId="3" fillId="0" borderId="11" xfId="1" applyFont="1" applyFill="1" applyBorder="1"/>
    <xf numFmtId="43" fontId="3" fillId="0" borderId="28" xfId="1" applyFont="1" applyBorder="1"/>
    <xf numFmtId="41" fontId="12" fillId="0" borderId="19" xfId="0" applyNumberFormat="1" applyFont="1" applyBorder="1"/>
    <xf numFmtId="41" fontId="3" fillId="0" borderId="19" xfId="0" applyNumberFormat="1" applyFont="1" applyFill="1" applyBorder="1"/>
    <xf numFmtId="16" fontId="3" fillId="0" borderId="0" xfId="0" applyNumberFormat="1" applyFont="1" applyFill="1"/>
    <xf numFmtId="0" fontId="3" fillId="0" borderId="0" xfId="0" applyFont="1" applyFill="1" applyBorder="1"/>
    <xf numFmtId="0" fontId="3" fillId="0" borderId="35" xfId="0" applyFont="1" applyBorder="1" applyAlignment="1">
      <alignment horizontal="center"/>
    </xf>
    <xf numFmtId="14" fontId="3" fillId="0" borderId="36" xfId="0" applyNumberFormat="1" applyFont="1" applyBorder="1" applyAlignment="1">
      <alignment horizontal="center"/>
    </xf>
    <xf numFmtId="14" fontId="3" fillId="0" borderId="8" xfId="0" applyNumberFormat="1" applyFont="1" applyBorder="1"/>
    <xf numFmtId="14" fontId="3" fillId="0" borderId="11" xfId="0" applyNumberFormat="1" applyFont="1" applyBorder="1"/>
    <xf numFmtId="43" fontId="3" fillId="0" borderId="11" xfId="1" applyFont="1" applyBorder="1" applyAlignment="1">
      <alignment horizontal="left"/>
    </xf>
    <xf numFmtId="43" fontId="3" fillId="0" borderId="11" xfId="1" applyFont="1" applyBorder="1" applyAlignment="1">
      <alignment horizontal="right"/>
    </xf>
    <xf numFmtId="43" fontId="3" fillId="0" borderId="8" xfId="0" applyNumberFormat="1" applyFont="1" applyBorder="1"/>
    <xf numFmtId="43" fontId="3" fillId="0" borderId="31" xfId="1" applyFont="1" applyBorder="1" applyAlignment="1">
      <alignment horizontal="center"/>
    </xf>
    <xf numFmtId="0" fontId="3" fillId="0" borderId="31" xfId="0" applyFont="1" applyBorder="1" applyAlignment="1">
      <alignment horizontal="center"/>
    </xf>
    <xf numFmtId="0" fontId="3" fillId="0" borderId="37" xfId="0" applyFont="1" applyBorder="1" applyAlignment="1">
      <alignment horizontal="center"/>
    </xf>
    <xf numFmtId="43" fontId="3" fillId="0" borderId="5" xfId="1" applyFont="1" applyBorder="1" applyAlignment="1">
      <alignment horizontal="center"/>
    </xf>
    <xf numFmtId="0" fontId="3" fillId="0" borderId="5" xfId="0" applyFont="1" applyBorder="1" applyAlignment="1">
      <alignment horizontal="center"/>
    </xf>
    <xf numFmtId="0" fontId="3" fillId="0" borderId="44" xfId="0" applyFont="1" applyBorder="1" applyAlignment="1">
      <alignment horizontal="center"/>
    </xf>
    <xf numFmtId="0" fontId="3" fillId="0" borderId="33" xfId="0" applyFont="1" applyBorder="1" applyAlignment="1">
      <alignment horizontal="center"/>
    </xf>
    <xf numFmtId="0" fontId="3" fillId="0" borderId="18" xfId="0" applyFont="1" applyBorder="1" applyAlignment="1">
      <alignment horizontal="center"/>
    </xf>
    <xf numFmtId="0" fontId="3" fillId="0" borderId="8" xfId="0" applyFont="1" applyBorder="1" applyAlignment="1">
      <alignment horizontal="center"/>
    </xf>
    <xf numFmtId="9" fontId="3" fillId="0" borderId="11" xfId="3" applyFont="1" applyBorder="1"/>
    <xf numFmtId="0" fontId="3" fillId="0" borderId="3" xfId="0" applyFont="1" applyBorder="1"/>
    <xf numFmtId="43" fontId="3" fillId="0" borderId="11" xfId="0" applyNumberFormat="1" applyFont="1" applyBorder="1"/>
    <xf numFmtId="43" fontId="3" fillId="0" borderId="0" xfId="0" applyNumberFormat="1" applyFont="1"/>
    <xf numFmtId="0" fontId="3" fillId="0" borderId="3" xfId="0" applyFont="1" applyBorder="1" applyAlignment="1">
      <alignment horizontal="center"/>
    </xf>
    <xf numFmtId="41" fontId="4" fillId="0" borderId="8" xfId="0" applyNumberFormat="1" applyFont="1" applyBorder="1"/>
    <xf numFmtId="41" fontId="4" fillId="0" borderId="11" xfId="0" applyNumberFormat="1" applyFont="1" applyBorder="1"/>
    <xf numFmtId="14" fontId="0" fillId="0" borderId="0" xfId="0" applyNumberFormat="1"/>
    <xf numFmtId="43" fontId="3" fillId="0" borderId="45" xfId="1" applyFont="1" applyBorder="1"/>
    <xf numFmtId="4" fontId="3" fillId="0" borderId="0" xfId="0" applyNumberFormat="1" applyFont="1" applyFill="1"/>
    <xf numFmtId="0" fontId="0" fillId="0" borderId="20" xfId="0" applyBorder="1"/>
    <xf numFmtId="41" fontId="4" fillId="0" borderId="12" xfId="0" applyNumberFormat="1" applyFont="1" applyBorder="1"/>
    <xf numFmtId="41" fontId="0" fillId="0" borderId="0" xfId="0" applyNumberFormat="1" applyBorder="1" applyAlignment="1">
      <alignment horizontal="center"/>
    </xf>
    <xf numFmtId="41" fontId="8" fillId="0" borderId="0" xfId="0" applyNumberFormat="1" applyFont="1" applyBorder="1"/>
    <xf numFmtId="0" fontId="4" fillId="0" borderId="23" xfId="0" applyFont="1" applyBorder="1" applyAlignment="1">
      <alignment horizontal="center"/>
    </xf>
    <xf numFmtId="43" fontId="8" fillId="0" borderId="11" xfId="1" applyFont="1" applyBorder="1"/>
    <xf numFmtId="0" fontId="0" fillId="0" borderId="26" xfId="0" applyBorder="1"/>
    <xf numFmtId="16" fontId="3" fillId="0" borderId="0" xfId="0" applyNumberFormat="1" applyFont="1" applyFill="1" applyBorder="1"/>
    <xf numFmtId="16" fontId="3" fillId="0" borderId="0" xfId="0" applyNumberFormat="1" applyFont="1" applyBorder="1"/>
    <xf numFmtId="16" fontId="0" fillId="0" borderId="0" xfId="0" applyNumberFormat="1"/>
    <xf numFmtId="0" fontId="0" fillId="0" borderId="20" xfId="0" applyFill="1" applyBorder="1"/>
    <xf numFmtId="0" fontId="0" fillId="0" borderId="7" xfId="0" applyFill="1" applyBorder="1"/>
    <xf numFmtId="41" fontId="3" fillId="0" borderId="16" xfId="1" applyNumberFormat="1" applyFont="1" applyBorder="1"/>
    <xf numFmtId="41" fontId="3" fillId="0" borderId="19" xfId="1" applyNumberFormat="1" applyFont="1" applyBorder="1"/>
    <xf numFmtId="41" fontId="3" fillId="0" borderId="17" xfId="1" applyNumberFormat="1" applyFont="1" applyBorder="1"/>
    <xf numFmtId="14" fontId="3" fillId="0" borderId="0" xfId="0" applyNumberFormat="1" applyFont="1" applyBorder="1"/>
    <xf numFmtId="10" fontId="0" fillId="0" borderId="0" xfId="0" applyNumberFormat="1" applyBorder="1"/>
    <xf numFmtId="49" fontId="3" fillId="0" borderId="0" xfId="0" applyNumberFormat="1" applyFont="1" applyAlignment="1">
      <alignment horizontal="right"/>
    </xf>
    <xf numFmtId="9" fontId="4" fillId="0" borderId="11" xfId="3" applyFont="1" applyBorder="1"/>
    <xf numFmtId="0" fontId="0" fillId="0" borderId="44" xfId="0" applyBorder="1"/>
    <xf numFmtId="41" fontId="3" fillId="0" borderId="0" xfId="0" applyNumberFormat="1" applyFont="1" applyFill="1" applyBorder="1"/>
    <xf numFmtId="14" fontId="4" fillId="0" borderId="16" xfId="0" applyNumberFormat="1" applyFont="1" applyBorder="1" applyAlignment="1">
      <alignment horizontal="center"/>
    </xf>
    <xf numFmtId="41" fontId="0" fillId="0" borderId="8" xfId="0" applyNumberFormat="1" applyBorder="1"/>
    <xf numFmtId="41" fontId="3" fillId="0" borderId="23" xfId="0" applyNumberFormat="1" applyFont="1" applyBorder="1"/>
    <xf numFmtId="41" fontId="4" fillId="0" borderId="0" xfId="0" applyNumberFormat="1" applyFont="1"/>
    <xf numFmtId="0" fontId="4" fillId="0" borderId="8" xfId="0" applyFont="1" applyBorder="1"/>
    <xf numFmtId="41" fontId="13" fillId="0" borderId="0" xfId="0" applyNumberFormat="1" applyFont="1"/>
    <xf numFmtId="41" fontId="13" fillId="0" borderId="0" xfId="0" applyNumberFormat="1" applyFont="1" applyBorder="1"/>
    <xf numFmtId="0" fontId="4" fillId="0" borderId="38" xfId="0" applyFont="1" applyBorder="1"/>
    <xf numFmtId="0" fontId="3" fillId="0" borderId="22" xfId="0" applyFont="1" applyBorder="1"/>
    <xf numFmtId="0" fontId="3" fillId="0" borderId="23" xfId="0" applyFont="1" applyBorder="1"/>
    <xf numFmtId="0" fontId="3" fillId="0" borderId="23" xfId="0" applyFont="1" applyBorder="1" applyAlignment="1">
      <alignment horizontal="center"/>
    </xf>
    <xf numFmtId="0" fontId="3" fillId="0" borderId="0" xfId="0" applyFont="1" applyFill="1" applyBorder="1" applyAlignment="1">
      <alignment horizontal="center"/>
    </xf>
    <xf numFmtId="43" fontId="3" fillId="0" borderId="0" xfId="0" applyNumberFormat="1" applyFont="1" applyFill="1"/>
    <xf numFmtId="41" fontId="3" fillId="0" borderId="0" xfId="1" applyNumberFormat="1" applyFont="1" applyBorder="1"/>
    <xf numFmtId="14" fontId="4" fillId="0" borderId="11" xfId="0" applyNumberFormat="1" applyFont="1" applyBorder="1"/>
    <xf numFmtId="49" fontId="0" fillId="0" borderId="0" xfId="0" applyNumberFormat="1"/>
    <xf numFmtId="0" fontId="4" fillId="0" borderId="0" xfId="0" applyFont="1" applyFill="1" applyBorder="1" applyAlignment="1">
      <alignment horizontal="center"/>
    </xf>
    <xf numFmtId="43" fontId="9" fillId="0" borderId="0" xfId="1" applyFont="1" applyBorder="1"/>
    <xf numFmtId="41" fontId="4" fillId="0" borderId="0" xfId="1" applyNumberFormat="1" applyFont="1"/>
    <xf numFmtId="43" fontId="12" fillId="0" borderId="8" xfId="1" applyFont="1" applyBorder="1" applyAlignment="1">
      <alignment horizontal="center"/>
    </xf>
    <xf numFmtId="0" fontId="12" fillId="0" borderId="8" xfId="0" applyFont="1" applyBorder="1" applyAlignment="1">
      <alignment horizontal="center"/>
    </xf>
    <xf numFmtId="43" fontId="3" fillId="0" borderId="0" xfId="0" applyNumberFormat="1" applyFont="1" applyBorder="1"/>
    <xf numFmtId="49" fontId="3" fillId="0" borderId="0" xfId="0" applyNumberFormat="1" applyFont="1" applyFill="1" applyBorder="1" applyAlignment="1">
      <alignment horizontal="left"/>
    </xf>
    <xf numFmtId="41" fontId="10" fillId="0" borderId="0" xfId="1" applyNumberFormat="1" applyFont="1"/>
    <xf numFmtId="41" fontId="0" fillId="0" borderId="29" xfId="1" applyNumberFormat="1" applyFont="1" applyBorder="1"/>
    <xf numFmtId="43" fontId="3" fillId="0" borderId="0" xfId="1" applyFont="1" applyBorder="1" applyAlignment="1">
      <alignment horizontal="center"/>
    </xf>
    <xf numFmtId="43" fontId="2" fillId="0" borderId="0" xfId="1" applyFont="1"/>
    <xf numFmtId="0" fontId="9" fillId="0" borderId="0" xfId="0" applyFont="1" applyBorder="1"/>
    <xf numFmtId="43" fontId="16" fillId="0" borderId="0" xfId="0" applyNumberFormat="1" applyFont="1" applyBorder="1"/>
    <xf numFmtId="41" fontId="3" fillId="0" borderId="8" xfId="0" applyNumberFormat="1" applyFont="1" applyBorder="1" applyAlignment="1">
      <alignment horizontal="center"/>
    </xf>
    <xf numFmtId="43" fontId="3" fillId="0" borderId="23" xfId="0" applyNumberFormat="1" applyFont="1" applyBorder="1"/>
    <xf numFmtId="43" fontId="0" fillId="0" borderId="0" xfId="1" applyFont="1" applyFill="1" applyBorder="1"/>
    <xf numFmtId="43" fontId="17" fillId="0" borderId="0" xfId="1" applyFont="1"/>
    <xf numFmtId="41" fontId="0" fillId="0" borderId="0" xfId="0" applyNumberFormat="1" applyFill="1" applyBorder="1"/>
    <xf numFmtId="43" fontId="18" fillId="0" borderId="0" xfId="1" applyFont="1" applyAlignment="1">
      <alignment horizontal="center"/>
    </xf>
    <xf numFmtId="43" fontId="3" fillId="0" borderId="18" xfId="1" applyFont="1" applyFill="1" applyBorder="1"/>
    <xf numFmtId="14" fontId="9" fillId="0" borderId="0" xfId="0" applyNumberFormat="1" applyFont="1"/>
    <xf numFmtId="0" fontId="3" fillId="0" borderId="16" xfId="0" applyFont="1" applyFill="1" applyBorder="1" applyAlignment="1">
      <alignment horizontal="center"/>
    </xf>
    <xf numFmtId="0" fontId="0" fillId="0" borderId="0" xfId="0" applyNumberFormat="1"/>
    <xf numFmtId="14" fontId="0" fillId="0" borderId="0" xfId="0" applyNumberFormat="1" applyAlignment="1">
      <alignment horizontal="left"/>
    </xf>
    <xf numFmtId="0" fontId="0" fillId="0" borderId="0" xfId="0" applyAlignment="1">
      <alignment horizontal="left"/>
    </xf>
    <xf numFmtId="0" fontId="3" fillId="0" borderId="11" xfId="0" applyFont="1" applyFill="1" applyBorder="1"/>
    <xf numFmtId="0" fontId="3" fillId="0" borderId="10" xfId="0" applyFont="1" applyFill="1" applyBorder="1"/>
    <xf numFmtId="0" fontId="4" fillId="0" borderId="10" xfId="0" applyFont="1" applyFill="1" applyBorder="1"/>
    <xf numFmtId="41" fontId="3" fillId="0" borderId="7" xfId="0" applyNumberFormat="1" applyFont="1" applyBorder="1"/>
    <xf numFmtId="0" fontId="2" fillId="0" borderId="0" xfId="0" applyFont="1"/>
    <xf numFmtId="41" fontId="0" fillId="0" borderId="0" xfId="0" applyNumberFormat="1" applyFill="1"/>
    <xf numFmtId="0" fontId="19" fillId="0" borderId="0" xfId="0" applyFont="1"/>
    <xf numFmtId="0" fontId="19" fillId="0" borderId="0" xfId="0" applyFont="1" applyAlignment="1">
      <alignment horizontal="center"/>
    </xf>
    <xf numFmtId="0" fontId="20" fillId="0" borderId="0" xfId="0" applyFont="1"/>
    <xf numFmtId="0" fontId="20" fillId="0" borderId="0" xfId="0" applyFont="1" applyAlignment="1">
      <alignment horizontal="center"/>
    </xf>
    <xf numFmtId="0" fontId="4" fillId="0" borderId="16" xfId="0" applyFont="1" applyFill="1" applyBorder="1" applyAlignment="1">
      <alignment horizontal="center"/>
    </xf>
    <xf numFmtId="41" fontId="3" fillId="0" borderId="11" xfId="1" applyNumberFormat="1" applyFont="1" applyFill="1" applyBorder="1"/>
    <xf numFmtId="41" fontId="3" fillId="0" borderId="8" xfId="1" applyNumberFormat="1" applyFont="1" applyFill="1" applyBorder="1"/>
    <xf numFmtId="43" fontId="3" fillId="0" borderId="44" xfId="1" applyFont="1" applyBorder="1"/>
    <xf numFmtId="0" fontId="3" fillId="0" borderId="0" xfId="0" applyNumberFormat="1" applyFont="1"/>
    <xf numFmtId="41" fontId="3" fillId="0" borderId="10" xfId="0" applyNumberFormat="1" applyFont="1" applyFill="1" applyBorder="1"/>
    <xf numFmtId="41" fontId="3" fillId="0" borderId="40" xfId="0" applyNumberFormat="1" applyFont="1" applyFill="1" applyBorder="1"/>
    <xf numFmtId="0" fontId="37" fillId="0" borderId="0" xfId="0" applyFont="1"/>
    <xf numFmtId="41" fontId="9" fillId="0" borderId="0" xfId="0" applyNumberFormat="1" applyFont="1"/>
    <xf numFmtId="41" fontId="10" fillId="0" borderId="0" xfId="0" applyNumberFormat="1" applyFont="1" applyFill="1"/>
    <xf numFmtId="0" fontId="3" fillId="0" borderId="0" xfId="0" applyFont="1" applyBorder="1" applyAlignment="1">
      <alignment horizontal="center"/>
    </xf>
    <xf numFmtId="0" fontId="9" fillId="0" borderId="0" xfId="0" quotePrefix="1" applyFont="1"/>
    <xf numFmtId="0" fontId="4" fillId="0" borderId="9" xfId="0" applyFont="1" applyFill="1" applyBorder="1"/>
    <xf numFmtId="0" fontId="3" fillId="0" borderId="6" xfId="0" applyFont="1" applyFill="1" applyBorder="1"/>
    <xf numFmtId="0" fontId="3" fillId="0" borderId="7" xfId="0" applyFont="1" applyFill="1" applyBorder="1"/>
    <xf numFmtId="0" fontId="3" fillId="0" borderId="9" xfId="0" applyFont="1" applyFill="1" applyBorder="1"/>
    <xf numFmtId="0" fontId="9" fillId="0" borderId="20" xfId="0" applyFont="1" applyBorder="1"/>
    <xf numFmtId="41" fontId="9" fillId="0" borderId="0" xfId="0" applyNumberFormat="1" applyFont="1" applyFill="1"/>
    <xf numFmtId="41" fontId="0" fillId="0" borderId="0" xfId="1" applyNumberFormat="1" applyFont="1" applyFill="1"/>
    <xf numFmtId="43" fontId="4" fillId="0" borderId="3" xfId="1" applyFont="1" applyBorder="1" applyAlignment="1">
      <alignment horizontal="center"/>
    </xf>
    <xf numFmtId="0" fontId="0" fillId="0" borderId="38" xfId="0" applyFill="1" applyBorder="1"/>
    <xf numFmtId="0" fontId="38" fillId="0" borderId="0" xfId="0" applyFont="1" applyFill="1" applyBorder="1" applyAlignment="1">
      <alignment horizontal="center"/>
    </xf>
    <xf numFmtId="0" fontId="38" fillId="0" borderId="38" xfId="0" applyFont="1" applyFill="1" applyBorder="1" applyAlignment="1">
      <alignment horizontal="center"/>
    </xf>
    <xf numFmtId="0" fontId="21" fillId="0" borderId="20" xfId="0" applyFont="1" applyFill="1" applyBorder="1"/>
    <xf numFmtId="0" fontId="0" fillId="0" borderId="0" xfId="0" applyFill="1" applyBorder="1" applyAlignment="1">
      <alignment horizontal="center" vertical="center"/>
    </xf>
    <xf numFmtId="0" fontId="0" fillId="0" borderId="38" xfId="0" applyFill="1" applyBorder="1" applyAlignment="1">
      <alignment horizontal="center" vertical="center"/>
    </xf>
    <xf numFmtId="43" fontId="35" fillId="0" borderId="0" xfId="1" applyFont="1" applyFill="1" applyBorder="1"/>
    <xf numFmtId="43" fontId="35" fillId="0" borderId="38" xfId="1" applyFont="1" applyFill="1" applyBorder="1"/>
    <xf numFmtId="43" fontId="35" fillId="0" borderId="28" xfId="1" applyFont="1" applyFill="1" applyBorder="1"/>
    <xf numFmtId="43" fontId="35" fillId="0" borderId="33" xfId="1" applyFont="1" applyFill="1" applyBorder="1"/>
    <xf numFmtId="0" fontId="9" fillId="0" borderId="40" xfId="0" applyFont="1" applyBorder="1"/>
    <xf numFmtId="0" fontId="0" fillId="0" borderId="0" xfId="0" applyFill="1" applyBorder="1" applyAlignment="1">
      <alignment horizontal="center"/>
    </xf>
    <xf numFmtId="10" fontId="0" fillId="0" borderId="0" xfId="0" applyNumberFormat="1" applyFill="1" applyBorder="1"/>
    <xf numFmtId="0" fontId="21" fillId="0" borderId="40" xfId="0" applyFont="1" applyFill="1" applyBorder="1"/>
    <xf numFmtId="0" fontId="0" fillId="0" borderId="26" xfId="0" applyFill="1" applyBorder="1"/>
    <xf numFmtId="0" fontId="0" fillId="0" borderId="44" xfId="0" applyFill="1" applyBorder="1"/>
    <xf numFmtId="0" fontId="9" fillId="0" borderId="0" xfId="0" applyFont="1" applyFill="1" applyAlignment="1">
      <alignment horizontal="center"/>
    </xf>
    <xf numFmtId="0" fontId="9" fillId="0" borderId="0" xfId="0" applyFont="1" applyAlignment="1">
      <alignment horizontal="center"/>
    </xf>
    <xf numFmtId="0" fontId="9" fillId="0" borderId="0" xfId="0" applyFont="1" applyAlignment="1">
      <alignment horizontal="left"/>
    </xf>
    <xf numFmtId="43" fontId="0" fillId="0" borderId="46" xfId="1" applyFont="1" applyBorder="1"/>
    <xf numFmtId="41" fontId="0" fillId="0" borderId="46" xfId="0" applyNumberFormat="1" applyBorder="1"/>
    <xf numFmtId="0" fontId="9" fillId="3" borderId="0" xfId="0" applyFont="1" applyFill="1" applyAlignment="1">
      <alignment horizontal="center"/>
    </xf>
    <xf numFmtId="0" fontId="0" fillId="3" borderId="0" xfId="0" applyFill="1"/>
    <xf numFmtId="0" fontId="9" fillId="3" borderId="46" xfId="0" applyFont="1" applyFill="1" applyBorder="1"/>
    <xf numFmtId="43" fontId="39" fillId="3" borderId="46" xfId="1" applyFont="1" applyFill="1" applyBorder="1"/>
    <xf numFmtId="41" fontId="4" fillId="0" borderId="8" xfId="1" applyNumberFormat="1" applyFont="1" applyBorder="1"/>
    <xf numFmtId="9" fontId="3" fillId="0" borderId="8" xfId="3" applyFont="1" applyBorder="1"/>
    <xf numFmtId="43" fontId="0" fillId="0" borderId="11" xfId="1" applyFont="1" applyFill="1" applyBorder="1"/>
    <xf numFmtId="41" fontId="3" fillId="0" borderId="44" xfId="0" applyNumberFormat="1" applyFont="1" applyFill="1" applyBorder="1"/>
    <xf numFmtId="41" fontId="4" fillId="0" borderId="42" xfId="0" applyNumberFormat="1" applyFont="1" applyFill="1" applyBorder="1"/>
    <xf numFmtId="41" fontId="10" fillId="0" borderId="0" xfId="1" applyNumberFormat="1" applyFont="1" applyFill="1"/>
    <xf numFmtId="41" fontId="9" fillId="0" borderId="0" xfId="1" applyNumberFormat="1" applyFont="1" applyFill="1"/>
    <xf numFmtId="41" fontId="2" fillId="0" borderId="0" xfId="1" applyNumberFormat="1" applyFont="1" applyFill="1"/>
    <xf numFmtId="0" fontId="7" fillId="0" borderId="0" xfId="0" applyFont="1" applyBorder="1"/>
    <xf numFmtId="0" fontId="14" fillId="0" borderId="0" xfId="0" applyFont="1"/>
    <xf numFmtId="41" fontId="24" fillId="0" borderId="0" xfId="1" applyNumberFormat="1" applyFont="1" applyFill="1"/>
    <xf numFmtId="43" fontId="3" fillId="5" borderId="8" xfId="0" applyNumberFormat="1" applyFont="1" applyFill="1" applyBorder="1"/>
    <xf numFmtId="0" fontId="4" fillId="0" borderId="37" xfId="0" applyFont="1" applyBorder="1" applyAlignment="1">
      <alignment horizontal="center"/>
    </xf>
    <xf numFmtId="0" fontId="4" fillId="0" borderId="38" xfId="0" applyFont="1" applyBorder="1" applyAlignment="1">
      <alignment horizontal="center"/>
    </xf>
    <xf numFmtId="41" fontId="4" fillId="0" borderId="37" xfId="0" applyNumberFormat="1" applyFont="1" applyBorder="1" applyAlignment="1">
      <alignment horizontal="center"/>
    </xf>
    <xf numFmtId="41" fontId="4" fillId="0" borderId="38" xfId="0" applyNumberFormat="1" applyFont="1" applyBorder="1" applyAlignment="1">
      <alignment horizontal="center"/>
    </xf>
    <xf numFmtId="41" fontId="3" fillId="5" borderId="11" xfId="0" applyNumberFormat="1" applyFont="1" applyFill="1" applyBorder="1"/>
    <xf numFmtId="43" fontId="3" fillId="0" borderId="0" xfId="0" applyNumberFormat="1" applyFont="1" applyFill="1" applyBorder="1"/>
    <xf numFmtId="0" fontId="3" fillId="5" borderId="10" xfId="0" applyFont="1" applyFill="1" applyBorder="1"/>
    <xf numFmtId="41" fontId="3" fillId="0" borderId="17" xfId="0" applyNumberFormat="1" applyFont="1" applyFill="1" applyBorder="1"/>
    <xf numFmtId="0" fontId="3" fillId="0" borderId="8" xfId="0" applyFont="1" applyFill="1" applyBorder="1"/>
    <xf numFmtId="0" fontId="3" fillId="0" borderId="21" xfId="0" applyFont="1" applyBorder="1" applyAlignment="1">
      <alignment horizontal="center"/>
    </xf>
    <xf numFmtId="41" fontId="4" fillId="0" borderId="0" xfId="0" applyNumberFormat="1" applyFont="1" applyBorder="1"/>
    <xf numFmtId="41" fontId="4" fillId="0" borderId="7" xfId="0" applyNumberFormat="1" applyFont="1" applyBorder="1"/>
    <xf numFmtId="41" fontId="4" fillId="0" borderId="8" xfId="1" applyNumberFormat="1" applyFont="1" applyFill="1" applyBorder="1"/>
    <xf numFmtId="9" fontId="4" fillId="0" borderId="11" xfId="3" applyFont="1" applyFill="1" applyBorder="1"/>
    <xf numFmtId="0" fontId="3" fillId="5" borderId="11" xfId="0" applyFont="1" applyFill="1" applyBorder="1"/>
    <xf numFmtId="43" fontId="3" fillId="5" borderId="11" xfId="1" applyFont="1" applyFill="1" applyBorder="1"/>
    <xf numFmtId="41" fontId="4" fillId="5" borderId="8" xfId="1" applyNumberFormat="1" applyFont="1" applyFill="1" applyBorder="1"/>
    <xf numFmtId="0" fontId="0" fillId="5" borderId="0" xfId="0" applyFill="1"/>
    <xf numFmtId="41" fontId="0" fillId="5" borderId="0" xfId="0" applyNumberFormat="1" applyFill="1"/>
    <xf numFmtId="9" fontId="3" fillId="5" borderId="11" xfId="3" applyFont="1" applyFill="1" applyBorder="1"/>
    <xf numFmtId="43" fontId="4" fillId="0" borderId="5" xfId="1" applyFont="1" applyBorder="1" applyAlignment="1">
      <alignment horizontal="center"/>
    </xf>
    <xf numFmtId="43" fontId="4" fillId="0" borderId="30" xfId="1" applyFont="1" applyBorder="1" applyAlignment="1">
      <alignment horizontal="center"/>
    </xf>
    <xf numFmtId="43" fontId="3" fillId="0" borderId="33" xfId="1" applyFont="1" applyBorder="1" applyAlignment="1">
      <alignment horizontal="center"/>
    </xf>
    <xf numFmtId="43" fontId="4" fillId="0" borderId="12" xfId="1" applyFont="1" applyBorder="1"/>
    <xf numFmtId="43" fontId="4" fillId="0" borderId="8" xfId="1" applyFont="1" applyBorder="1"/>
    <xf numFmtId="43" fontId="3" fillId="0" borderId="10" xfId="1" applyFont="1" applyFill="1" applyBorder="1"/>
    <xf numFmtId="43" fontId="3" fillId="0" borderId="40" xfId="1" applyFont="1" applyFill="1" applyBorder="1"/>
    <xf numFmtId="43" fontId="4" fillId="0" borderId="42" xfId="1" applyFont="1" applyBorder="1"/>
    <xf numFmtId="43" fontId="3" fillId="0" borderId="8" xfId="1" applyFont="1" applyBorder="1" applyAlignment="1">
      <alignment horizontal="center"/>
    </xf>
    <xf numFmtId="43" fontId="3" fillId="0" borderId="35" xfId="1" applyFont="1" applyBorder="1" applyAlignment="1">
      <alignment horizontal="center"/>
    </xf>
    <xf numFmtId="43" fontId="3" fillId="0" borderId="36" xfId="1" applyFont="1" applyBorder="1" applyAlignment="1">
      <alignment horizontal="center"/>
    </xf>
    <xf numFmtId="43" fontId="16" fillId="0" borderId="0" xfId="1" applyFont="1" applyBorder="1"/>
    <xf numFmtId="43" fontId="3" fillId="0" borderId="12" xfId="1" applyFont="1" applyFill="1" applyBorder="1"/>
    <xf numFmtId="43" fontId="3" fillId="0" borderId="19" xfId="1" applyFont="1" applyFill="1" applyBorder="1"/>
    <xf numFmtId="43" fontId="3" fillId="0" borderId="16" xfId="1" applyFont="1" applyFill="1" applyBorder="1"/>
    <xf numFmtId="43" fontId="3" fillId="0" borderId="15" xfId="1" applyFont="1" applyFill="1" applyBorder="1"/>
    <xf numFmtId="43" fontId="3" fillId="0" borderId="17" xfId="1" applyFont="1" applyFill="1" applyBorder="1"/>
    <xf numFmtId="43" fontId="3" fillId="0" borderId="22" xfId="1" applyFont="1" applyBorder="1" applyAlignment="1">
      <alignment horizontal="center"/>
    </xf>
    <xf numFmtId="9" fontId="3" fillId="0" borderId="0" xfId="3" applyFont="1" applyBorder="1"/>
    <xf numFmtId="43" fontId="3" fillId="4" borderId="0" xfId="1" applyFont="1" applyFill="1"/>
    <xf numFmtId="14" fontId="3" fillId="0" borderId="0" xfId="1" applyNumberFormat="1" applyFont="1" applyFill="1" applyBorder="1"/>
    <xf numFmtId="43" fontId="3" fillId="0" borderId="0" xfId="1" applyFont="1" applyFill="1" applyBorder="1"/>
    <xf numFmtId="43" fontId="3" fillId="0" borderId="8" xfId="0" applyNumberFormat="1" applyFont="1" applyFill="1" applyBorder="1"/>
    <xf numFmtId="0" fontId="8" fillId="0" borderId="0" xfId="0" applyFont="1" applyFill="1"/>
    <xf numFmtId="0" fontId="0" fillId="0" borderId="38" xfId="0" applyBorder="1"/>
    <xf numFmtId="0" fontId="0" fillId="0" borderId="33" xfId="0" applyBorder="1"/>
    <xf numFmtId="41" fontId="3" fillId="0" borderId="24" xfId="0" applyNumberFormat="1" applyFont="1" applyFill="1" applyBorder="1"/>
    <xf numFmtId="41" fontId="3" fillId="0" borderId="33" xfId="0" applyNumberFormat="1" applyFont="1" applyFill="1" applyBorder="1"/>
    <xf numFmtId="41" fontId="3" fillId="0" borderId="43" xfId="0" applyNumberFormat="1" applyFont="1" applyFill="1" applyBorder="1"/>
    <xf numFmtId="16" fontId="2" fillId="0" borderId="0" xfId="0" applyNumberFormat="1" applyFont="1"/>
    <xf numFmtId="0" fontId="2" fillId="0" borderId="0" xfId="0" applyFont="1" applyFill="1"/>
    <xf numFmtId="43" fontId="0" fillId="0" borderId="0" xfId="1" applyFont="1" applyFill="1"/>
    <xf numFmtId="0" fontId="4" fillId="0" borderId="31" xfId="0" applyFont="1" applyFill="1" applyBorder="1" applyAlignment="1">
      <alignment horizontal="center"/>
    </xf>
    <xf numFmtId="0" fontId="4" fillId="0" borderId="20" xfId="0" applyFont="1" applyFill="1" applyBorder="1" applyAlignment="1">
      <alignment horizontal="center"/>
    </xf>
    <xf numFmtId="0" fontId="4" fillId="0" borderId="5" xfId="0" applyFont="1" applyFill="1" applyBorder="1" applyAlignment="1">
      <alignment horizontal="center"/>
    </xf>
    <xf numFmtId="41" fontId="3" fillId="0" borderId="15" xfId="1" applyNumberFormat="1" applyFont="1" applyFill="1" applyBorder="1"/>
    <xf numFmtId="0" fontId="2" fillId="0" borderId="20" xfId="0" applyFont="1" applyBorder="1"/>
    <xf numFmtId="0" fontId="2" fillId="0" borderId="38" xfId="0" applyFont="1" applyBorder="1"/>
    <xf numFmtId="41" fontId="2" fillId="0" borderId="0" xfId="1" applyNumberFormat="1" applyFont="1"/>
    <xf numFmtId="0" fontId="2" fillId="0" borderId="0" xfId="0" applyFont="1" applyFill="1" applyBorder="1"/>
    <xf numFmtId="14" fontId="3" fillId="0" borderId="36" xfId="1" applyNumberFormat="1" applyFont="1" applyBorder="1" applyAlignment="1">
      <alignment horizontal="center"/>
    </xf>
    <xf numFmtId="41" fontId="25" fillId="0" borderId="0" xfId="1" applyNumberFormat="1" applyFont="1" applyFill="1"/>
    <xf numFmtId="0" fontId="2" fillId="0" borderId="0" xfId="0" applyFont="1" applyAlignment="1">
      <alignment horizontal="center"/>
    </xf>
    <xf numFmtId="41" fontId="2" fillId="0" borderId="0" xfId="0" applyNumberFormat="1" applyFont="1" applyAlignment="1">
      <alignment horizontal="center"/>
    </xf>
    <xf numFmtId="41" fontId="2" fillId="0" borderId="0" xfId="0" applyNumberFormat="1" applyFont="1"/>
    <xf numFmtId="0" fontId="2" fillId="0" borderId="40" xfId="0" applyFont="1" applyBorder="1"/>
    <xf numFmtId="0" fontId="2" fillId="0" borderId="0" xfId="0" applyFont="1" applyBorder="1"/>
    <xf numFmtId="0" fontId="14" fillId="0" borderId="0" xfId="0" applyFont="1" applyAlignment="1">
      <alignment horizontal="center"/>
    </xf>
    <xf numFmtId="41" fontId="4" fillId="0" borderId="3" xfId="0" applyNumberFormat="1" applyFont="1" applyBorder="1" applyAlignment="1">
      <alignment horizontal="center"/>
    </xf>
    <xf numFmtId="43" fontId="3" fillId="0" borderId="2" xfId="1" applyFont="1" applyBorder="1" applyAlignment="1">
      <alignment horizontal="center"/>
    </xf>
    <xf numFmtId="14" fontId="3" fillId="0" borderId="30" xfId="1" applyNumberFormat="1" applyFont="1" applyBorder="1" applyAlignment="1">
      <alignment horizontal="center"/>
    </xf>
    <xf numFmtId="43" fontId="3" fillId="0" borderId="30" xfId="1" applyFont="1" applyBorder="1" applyAlignment="1">
      <alignment horizontal="center"/>
    </xf>
    <xf numFmtId="0" fontId="2" fillId="0" borderId="18" xfId="0" applyFont="1" applyBorder="1"/>
    <xf numFmtId="0" fontId="2" fillId="0" borderId="0" xfId="0" applyFont="1" applyAlignment="1">
      <alignment horizontal="left"/>
    </xf>
    <xf numFmtId="41" fontId="0" fillId="0" borderId="46" xfId="1" applyNumberFormat="1" applyFont="1" applyBorder="1"/>
    <xf numFmtId="0" fontId="3" fillId="0" borderId="36" xfId="0" applyFont="1" applyBorder="1" applyAlignment="1">
      <alignment horizontal="center"/>
    </xf>
    <xf numFmtId="0" fontId="2" fillId="0" borderId="0" xfId="0" applyFont="1" applyFill="1" applyAlignment="1"/>
    <xf numFmtId="0" fontId="0" fillId="0" borderId="0" xfId="0" applyAlignment="1"/>
    <xf numFmtId="49" fontId="2" fillId="0" borderId="0" xfId="0" applyNumberFormat="1" applyFont="1"/>
    <xf numFmtId="14" fontId="0" fillId="0" borderId="0" xfId="1" applyNumberFormat="1" applyFont="1"/>
    <xf numFmtId="41" fontId="2" fillId="0" borderId="0" xfId="1" applyNumberFormat="1" applyFont="1" applyAlignment="1">
      <alignment horizontal="center"/>
    </xf>
    <xf numFmtId="41" fontId="4" fillId="0" borderId="0" xfId="0" applyNumberFormat="1" applyFont="1" applyFill="1"/>
    <xf numFmtId="41" fontId="4" fillId="0" borderId="0" xfId="1" applyNumberFormat="1" applyFont="1" applyFill="1"/>
    <xf numFmtId="43" fontId="3" fillId="0" borderId="12" xfId="1" quotePrefix="1" applyFont="1" applyBorder="1"/>
    <xf numFmtId="41" fontId="3" fillId="0" borderId="12" xfId="0" quotePrefix="1" applyNumberFormat="1" applyFont="1" applyBorder="1"/>
    <xf numFmtId="43" fontId="29" fillId="0" borderId="0" xfId="1" applyFont="1" applyFill="1" applyBorder="1"/>
    <xf numFmtId="41" fontId="27" fillId="0" borderId="0" xfId="0" applyNumberFormat="1" applyFont="1"/>
    <xf numFmtId="43" fontId="9" fillId="0" borderId="0" xfId="1" applyFont="1" applyFill="1" applyBorder="1"/>
    <xf numFmtId="0" fontId="2" fillId="4" borderId="0" xfId="0" applyFont="1" applyFill="1"/>
    <xf numFmtId="10" fontId="0" fillId="0" borderId="0" xfId="3" applyNumberFormat="1" applyFont="1"/>
    <xf numFmtId="16" fontId="3" fillId="0" borderId="0" xfId="0" quotePrefix="1" applyNumberFormat="1" applyFont="1"/>
    <xf numFmtId="41" fontId="2" fillId="0" borderId="0" xfId="0" applyNumberFormat="1" applyFont="1" applyFill="1" applyBorder="1"/>
    <xf numFmtId="41" fontId="2" fillId="0" borderId="0" xfId="0" applyNumberFormat="1" applyFont="1" applyFill="1"/>
    <xf numFmtId="0" fontId="36" fillId="0" borderId="0" xfId="2" applyAlignment="1" applyProtection="1"/>
    <xf numFmtId="43" fontId="30" fillId="0" borderId="0" xfId="1" applyFont="1" applyFill="1" applyBorder="1"/>
    <xf numFmtId="41" fontId="30" fillId="0" borderId="0" xfId="0" applyNumberFormat="1" applyFont="1" applyFill="1" applyBorder="1"/>
    <xf numFmtId="43" fontId="9" fillId="0" borderId="0" xfId="1" applyFont="1" applyFill="1"/>
    <xf numFmtId="14" fontId="3" fillId="0" borderId="11" xfId="0" applyNumberFormat="1" applyFont="1" applyFill="1" applyBorder="1"/>
    <xf numFmtId="41" fontId="4" fillId="0" borderId="11" xfId="1" applyNumberFormat="1" applyFont="1" applyFill="1" applyBorder="1"/>
    <xf numFmtId="41" fontId="31" fillId="0" borderId="0" xfId="1" applyNumberFormat="1" applyFont="1" applyFill="1"/>
    <xf numFmtId="0" fontId="19" fillId="0" borderId="0" xfId="0" applyFont="1" applyAlignment="1">
      <alignment horizontal="left" indent="1"/>
    </xf>
    <xf numFmtId="0" fontId="33" fillId="0" borderId="0" xfId="0" applyFont="1"/>
    <xf numFmtId="0" fontId="28" fillId="0" borderId="0" xfId="0" applyFont="1"/>
    <xf numFmtId="43" fontId="28" fillId="0" borderId="0" xfId="1" applyFont="1"/>
    <xf numFmtId="0" fontId="41" fillId="0" borderId="0" xfId="0" applyFont="1"/>
    <xf numFmtId="0" fontId="3" fillId="0" borderId="0" xfId="0" applyFont="1" applyAlignment="1"/>
    <xf numFmtId="0" fontId="32" fillId="0" borderId="0" xfId="0" applyFont="1" applyAlignment="1"/>
    <xf numFmtId="0" fontId="42" fillId="0" borderId="0" xfId="0" applyFont="1"/>
    <xf numFmtId="41" fontId="28" fillId="0" borderId="0" xfId="0" applyNumberFormat="1" applyFont="1"/>
    <xf numFmtId="0" fontId="8" fillId="0" borderId="0" xfId="0" applyFont="1" applyBorder="1"/>
    <xf numFmtId="14" fontId="9" fillId="0" borderId="11" xfId="0" applyNumberFormat="1" applyFont="1" applyBorder="1"/>
    <xf numFmtId="14" fontId="9" fillId="5" borderId="11" xfId="0" applyNumberFormat="1" applyFont="1" applyFill="1" applyBorder="1"/>
    <xf numFmtId="41" fontId="3" fillId="6" borderId="12" xfId="0" applyNumberFormat="1" applyFont="1" applyFill="1" applyBorder="1"/>
    <xf numFmtId="41" fontId="3" fillId="6" borderId="11" xfId="0" applyNumberFormat="1" applyFont="1" applyFill="1" applyBorder="1"/>
    <xf numFmtId="41" fontId="3" fillId="6" borderId="8" xfId="0" applyNumberFormat="1" applyFont="1" applyFill="1" applyBorder="1"/>
    <xf numFmtId="41" fontId="34" fillId="0" borderId="0" xfId="1" applyNumberFormat="1" applyFont="1" applyFill="1"/>
    <xf numFmtId="14" fontId="9" fillId="5" borderId="8" xfId="0" applyNumberFormat="1" applyFont="1" applyFill="1" applyBorder="1"/>
    <xf numFmtId="0" fontId="43" fillId="0" borderId="0" xfId="0" applyFont="1" applyFill="1"/>
    <xf numFmtId="4" fontId="3" fillId="0" borderId="0" xfId="0" applyNumberFormat="1" applyFont="1"/>
    <xf numFmtId="16" fontId="3" fillId="0" borderId="0" xfId="1" quotePrefix="1" applyNumberFormat="1" applyFont="1" applyFill="1"/>
    <xf numFmtId="41" fontId="3" fillId="0" borderId="0" xfId="1" quotePrefix="1" applyNumberFormat="1" applyFont="1"/>
    <xf numFmtId="41" fontId="8" fillId="0" borderId="0" xfId="1" applyNumberFormat="1" applyFont="1"/>
    <xf numFmtId="43" fontId="4" fillId="0" borderId="0" xfId="1" applyFont="1" applyFill="1"/>
    <xf numFmtId="0" fontId="4" fillId="0" borderId="0" xfId="0" applyFont="1" applyFill="1"/>
    <xf numFmtId="0" fontId="4" fillId="0" borderId="1" xfId="0" applyFont="1" applyFill="1" applyBorder="1"/>
    <xf numFmtId="43" fontId="4" fillId="0" borderId="3" xfId="1" applyFont="1" applyFill="1" applyBorder="1" applyAlignment="1">
      <alignment horizontal="center"/>
    </xf>
    <xf numFmtId="0" fontId="4" fillId="0" borderId="37" xfId="0" applyFont="1" applyFill="1" applyBorder="1" applyAlignment="1">
      <alignment horizontal="center"/>
    </xf>
    <xf numFmtId="43" fontId="4" fillId="0" borderId="37" xfId="1" applyFont="1" applyFill="1" applyBorder="1" applyAlignment="1">
      <alignment horizontal="center"/>
    </xf>
    <xf numFmtId="0" fontId="4" fillId="0" borderId="3" xfId="0" applyFont="1" applyFill="1" applyBorder="1" applyAlignment="1">
      <alignment horizontal="center"/>
    </xf>
    <xf numFmtId="0" fontId="4" fillId="0" borderId="32" xfId="0" applyFont="1" applyFill="1" applyBorder="1"/>
    <xf numFmtId="43" fontId="4" fillId="0" borderId="16" xfId="1" applyFont="1" applyFill="1" applyBorder="1" applyAlignment="1">
      <alignment horizontal="center"/>
    </xf>
    <xf numFmtId="43" fontId="4" fillId="0" borderId="38" xfId="1" applyFont="1" applyFill="1" applyBorder="1" applyAlignment="1">
      <alignment horizontal="center"/>
    </xf>
    <xf numFmtId="0" fontId="4" fillId="0" borderId="38" xfId="0" applyFont="1" applyFill="1" applyBorder="1" applyAlignment="1">
      <alignment horizontal="center"/>
    </xf>
    <xf numFmtId="14" fontId="4" fillId="0" borderId="16" xfId="0" applyNumberFormat="1" applyFont="1" applyFill="1" applyBorder="1" applyAlignment="1">
      <alignment horizontal="center"/>
    </xf>
    <xf numFmtId="0" fontId="4" fillId="0" borderId="4" xfId="0" applyFont="1" applyFill="1" applyBorder="1"/>
    <xf numFmtId="43" fontId="4" fillId="0" borderId="5" xfId="1" applyFont="1" applyFill="1" applyBorder="1" applyAlignment="1">
      <alignment horizontal="center"/>
    </xf>
    <xf numFmtId="0" fontId="4" fillId="0" borderId="30" xfId="0" applyFont="1" applyFill="1" applyBorder="1" applyAlignment="1">
      <alignment horizontal="center"/>
    </xf>
    <xf numFmtId="14" fontId="4" fillId="0" borderId="30" xfId="1" applyNumberFormat="1" applyFont="1" applyFill="1" applyBorder="1" applyAlignment="1">
      <alignment horizontal="center"/>
    </xf>
    <xf numFmtId="0" fontId="4" fillId="0" borderId="6" xfId="0" applyFont="1" applyFill="1" applyBorder="1" applyAlignment="1">
      <alignment horizontal="center"/>
    </xf>
    <xf numFmtId="43" fontId="3" fillId="0" borderId="33" xfId="1" applyFont="1" applyFill="1" applyBorder="1" applyAlignment="1">
      <alignment horizontal="center"/>
    </xf>
    <xf numFmtId="0" fontId="3" fillId="0" borderId="33" xfId="0" applyFont="1" applyFill="1" applyBorder="1" applyAlignment="1">
      <alignment horizontal="center"/>
    </xf>
    <xf numFmtId="43" fontId="4" fillId="0" borderId="33" xfId="1" applyFont="1" applyFill="1" applyBorder="1" applyAlignment="1">
      <alignment horizontal="center"/>
    </xf>
    <xf numFmtId="0" fontId="4" fillId="0" borderId="33" xfId="0" applyFont="1" applyFill="1" applyBorder="1" applyAlignment="1">
      <alignment horizontal="center"/>
    </xf>
    <xf numFmtId="43" fontId="3" fillId="0" borderId="24" xfId="1" applyFont="1" applyFill="1" applyBorder="1"/>
    <xf numFmtId="43" fontId="3" fillId="0" borderId="33" xfId="1" applyFont="1" applyFill="1" applyBorder="1"/>
    <xf numFmtId="43" fontId="3" fillId="0" borderId="43" xfId="1" applyFont="1" applyFill="1" applyBorder="1"/>
    <xf numFmtId="0" fontId="3" fillId="0" borderId="13" xfId="0" applyFont="1" applyFill="1" applyBorder="1"/>
    <xf numFmtId="43" fontId="3" fillId="0" borderId="25" xfId="1" applyFont="1" applyFill="1" applyBorder="1"/>
    <xf numFmtId="41" fontId="3" fillId="0" borderId="25" xfId="0" applyNumberFormat="1" applyFont="1" applyFill="1" applyBorder="1"/>
    <xf numFmtId="43" fontId="3" fillId="0" borderId="8" xfId="1" applyFont="1" applyFill="1" applyBorder="1" applyAlignment="1">
      <alignment horizontal="center"/>
    </xf>
    <xf numFmtId="0" fontId="0" fillId="4" borderId="0" xfId="0" applyFill="1"/>
    <xf numFmtId="41" fontId="0" fillId="0" borderId="0" xfId="1" applyNumberFormat="1" applyFont="1" applyFill="1" applyBorder="1"/>
    <xf numFmtId="41" fontId="9" fillId="0" borderId="0" xfId="1" applyNumberFormat="1" applyFont="1" applyFill="1" applyBorder="1"/>
    <xf numFmtId="41" fontId="3" fillId="4" borderId="18" xfId="0" applyNumberFormat="1" applyFont="1" applyFill="1" applyBorder="1"/>
    <xf numFmtId="41" fontId="10" fillId="0" borderId="12" xfId="1" applyNumberFormat="1" applyFont="1" applyBorder="1"/>
    <xf numFmtId="0" fontId="14" fillId="0" borderId="0" xfId="0" applyFont="1" applyAlignment="1">
      <alignment horizontal="center"/>
    </xf>
    <xf numFmtId="0" fontId="22" fillId="0" borderId="0" xfId="0" applyFont="1" applyFill="1" applyBorder="1" applyAlignment="1">
      <alignment horizontal="center"/>
    </xf>
    <xf numFmtId="43" fontId="8" fillId="0" borderId="11" xfId="1" applyFont="1" applyFill="1" applyBorder="1"/>
    <xf numFmtId="0" fontId="36" fillId="0" borderId="0" xfId="2" quotePrefix="1" applyAlignment="1" applyProtection="1"/>
    <xf numFmtId="0" fontId="2" fillId="0" borderId="11" xfId="0" applyFont="1" applyBorder="1"/>
    <xf numFmtId="0" fontId="3" fillId="0" borderId="41" xfId="0" applyFont="1" applyFill="1" applyBorder="1"/>
    <xf numFmtId="0" fontId="3" fillId="0" borderId="0" xfId="1" applyNumberFormat="1" applyFont="1"/>
    <xf numFmtId="0" fontId="47" fillId="0" borderId="0" xfId="0" applyFont="1" applyAlignment="1">
      <alignment horizontal="center"/>
    </xf>
    <xf numFmtId="0" fontId="46" fillId="0" borderId="0" xfId="0" applyFont="1"/>
    <xf numFmtId="43" fontId="46" fillId="0" borderId="0" xfId="1" applyFont="1" applyBorder="1" applyAlignment="1" applyProtection="1"/>
    <xf numFmtId="43" fontId="46" fillId="0" borderId="28" xfId="1" applyFont="1" applyBorder="1" applyAlignment="1" applyProtection="1"/>
    <xf numFmtId="166" fontId="46" fillId="0" borderId="0" xfId="0" applyNumberFormat="1" applyFont="1"/>
    <xf numFmtId="0" fontId="2" fillId="0" borderId="0" xfId="0" quotePrefix="1" applyFont="1"/>
    <xf numFmtId="0" fontId="40" fillId="0" borderId="0" xfId="0" applyFont="1"/>
    <xf numFmtId="0" fontId="36" fillId="7" borderId="0" xfId="2" applyFill="1" applyAlignment="1" applyProtection="1"/>
    <xf numFmtId="14" fontId="0" fillId="0" borderId="0" xfId="0" applyNumberFormat="1" applyFill="1"/>
    <xf numFmtId="43" fontId="9" fillId="4" borderId="0" xfId="1" applyFont="1" applyFill="1"/>
    <xf numFmtId="16" fontId="19" fillId="0" borderId="0" xfId="0" applyNumberFormat="1" applyFont="1"/>
    <xf numFmtId="41" fontId="3" fillId="0" borderId="11" xfId="0" quotePrefix="1" applyNumberFormat="1" applyFont="1" applyFill="1" applyBorder="1"/>
    <xf numFmtId="41" fontId="3" fillId="0" borderId="12" xfId="0" quotePrefix="1" applyNumberFormat="1" applyFont="1" applyFill="1" applyBorder="1"/>
    <xf numFmtId="43" fontId="4" fillId="0" borderId="11" xfId="1" quotePrefix="1" applyFont="1" applyBorder="1"/>
    <xf numFmtId="43" fontId="2" fillId="0" borderId="0" xfId="1" applyFont="1" applyFill="1"/>
    <xf numFmtId="43" fontId="3" fillId="0" borderId="11" xfId="1" applyFont="1" applyFill="1" applyBorder="1" applyAlignment="1">
      <alignment horizontal="left"/>
    </xf>
    <xf numFmtId="0" fontId="14" fillId="0" borderId="0" xfId="0" applyFont="1" applyAlignment="1">
      <alignment horizontal="center"/>
    </xf>
    <xf numFmtId="43" fontId="9" fillId="0" borderId="11" xfId="1" applyFont="1" applyFill="1" applyBorder="1"/>
    <xf numFmtId="0" fontId="44" fillId="0" borderId="20" xfId="0" applyFont="1" applyBorder="1"/>
    <xf numFmtId="0" fontId="44" fillId="0" borderId="0" xfId="0" applyFont="1" applyBorder="1"/>
    <xf numFmtId="164" fontId="44" fillId="0" borderId="0" xfId="0" applyNumberFormat="1" applyFont="1" applyBorder="1"/>
    <xf numFmtId="164" fontId="0" fillId="0" borderId="0" xfId="0" applyNumberFormat="1" applyBorder="1"/>
    <xf numFmtId="165" fontId="0" fillId="0" borderId="20" xfId="0" applyNumberFormat="1" applyBorder="1"/>
    <xf numFmtId="164" fontId="45" fillId="0" borderId="20" xfId="0" applyNumberFormat="1" applyFont="1" applyBorder="1"/>
    <xf numFmtId="164" fontId="46" fillId="0" borderId="0" xfId="0" applyNumberFormat="1" applyFont="1" applyBorder="1"/>
    <xf numFmtId="43" fontId="8" fillId="0" borderId="0" xfId="1" applyFont="1" applyFill="1"/>
    <xf numFmtId="0" fontId="26" fillId="0" borderId="0" xfId="0" applyFont="1" applyFill="1"/>
    <xf numFmtId="43" fontId="4" fillId="0" borderId="0" xfId="1" applyFont="1" applyAlignment="1">
      <alignment horizontal="right"/>
    </xf>
    <xf numFmtId="43" fontId="3" fillId="0" borderId="23" xfId="1" applyFont="1" applyBorder="1"/>
    <xf numFmtId="43" fontId="3" fillId="0" borderId="23" xfId="1" applyFont="1" applyFill="1" applyBorder="1" applyAlignment="1">
      <alignment horizontal="center"/>
    </xf>
    <xf numFmtId="43" fontId="3" fillId="0" borderId="11" xfId="1" applyFont="1" applyFill="1" applyBorder="1" applyAlignment="1">
      <alignment horizontal="center"/>
    </xf>
    <xf numFmtId="43" fontId="3" fillId="0" borderId="36" xfId="1" applyFont="1" applyFill="1" applyBorder="1" applyAlignment="1">
      <alignment horizontal="center"/>
    </xf>
    <xf numFmtId="43" fontId="3" fillId="0" borderId="5" xfId="1" applyFont="1" applyFill="1" applyBorder="1" applyAlignment="1">
      <alignment horizontal="center"/>
    </xf>
    <xf numFmtId="0" fontId="3" fillId="0" borderId="5" xfId="0" applyFont="1" applyFill="1" applyBorder="1" applyAlignment="1">
      <alignment horizontal="center"/>
    </xf>
    <xf numFmtId="0" fontId="3" fillId="0" borderId="8" xfId="0" applyFont="1" applyFill="1" applyBorder="1" applyAlignment="1">
      <alignment horizontal="center"/>
    </xf>
    <xf numFmtId="43" fontId="3" fillId="0" borderId="10" xfId="1" applyFont="1" applyFill="1" applyBorder="1" applyAlignment="1">
      <alignment horizontal="center"/>
    </xf>
    <xf numFmtId="10" fontId="3" fillId="0" borderId="0" xfId="1" applyNumberFormat="1" applyFont="1" applyBorder="1"/>
    <xf numFmtId="41" fontId="3" fillId="0" borderId="12" xfId="1" applyNumberFormat="1" applyFont="1" applyFill="1" applyBorder="1"/>
    <xf numFmtId="0" fontId="4" fillId="8" borderId="1" xfId="0" applyFont="1" applyFill="1" applyBorder="1"/>
    <xf numFmtId="0" fontId="4" fillId="8" borderId="2" xfId="0" applyFont="1" applyFill="1" applyBorder="1"/>
    <xf numFmtId="43" fontId="4" fillId="8" borderId="31" xfId="1" applyFont="1" applyFill="1" applyBorder="1" applyAlignment="1">
      <alignment horizontal="center"/>
    </xf>
    <xf numFmtId="43" fontId="4" fillId="8" borderId="3" xfId="1" applyFont="1" applyFill="1" applyBorder="1" applyAlignment="1">
      <alignment horizontal="center"/>
    </xf>
    <xf numFmtId="0" fontId="4" fillId="8" borderId="3" xfId="0" applyFont="1" applyFill="1" applyBorder="1" applyAlignment="1">
      <alignment horizontal="center"/>
    </xf>
    <xf numFmtId="43" fontId="4" fillId="8" borderId="37" xfId="1" applyFont="1" applyFill="1" applyBorder="1" applyAlignment="1">
      <alignment horizontal="center"/>
    </xf>
    <xf numFmtId="0" fontId="4" fillId="8" borderId="37" xfId="0" applyFont="1" applyFill="1" applyBorder="1" applyAlignment="1">
      <alignment horizontal="center"/>
    </xf>
    <xf numFmtId="0" fontId="4" fillId="8" borderId="31" xfId="0" applyFont="1" applyFill="1" applyBorder="1" applyAlignment="1">
      <alignment horizontal="center"/>
    </xf>
    <xf numFmtId="0" fontId="4" fillId="8" borderId="4" xfId="0" applyFont="1" applyFill="1" applyBorder="1"/>
    <xf numFmtId="0" fontId="4" fillId="8" borderId="30" xfId="0" applyFont="1" applyFill="1" applyBorder="1"/>
    <xf numFmtId="43" fontId="4" fillId="8" borderId="5" xfId="1" applyFont="1" applyFill="1" applyBorder="1" applyAlignment="1">
      <alignment horizontal="center"/>
    </xf>
    <xf numFmtId="0" fontId="4" fillId="8" borderId="5" xfId="0" applyFont="1" applyFill="1" applyBorder="1" applyAlignment="1">
      <alignment horizontal="center"/>
    </xf>
    <xf numFmtId="0" fontId="4" fillId="8" borderId="30" xfId="0" applyFont="1" applyFill="1" applyBorder="1" applyAlignment="1">
      <alignment horizontal="center"/>
    </xf>
    <xf numFmtId="14" fontId="4" fillId="8" borderId="30" xfId="1" applyNumberFormat="1" applyFont="1" applyFill="1" applyBorder="1" applyAlignment="1">
      <alignment horizontal="center"/>
    </xf>
    <xf numFmtId="0" fontId="4" fillId="8" borderId="21" xfId="0" applyFont="1" applyFill="1" applyBorder="1" applyAlignment="1">
      <alignment horizontal="center"/>
    </xf>
    <xf numFmtId="0" fontId="3" fillId="8" borderId="20" xfId="0" applyFont="1" applyFill="1" applyBorder="1" applyAlignment="1">
      <alignment horizontal="center"/>
    </xf>
    <xf numFmtId="0" fontId="3" fillId="8" borderId="22" xfId="0" applyFont="1" applyFill="1" applyBorder="1" applyAlignment="1">
      <alignment horizontal="center"/>
    </xf>
    <xf numFmtId="43" fontId="3" fillId="8" borderId="23" xfId="1" applyFont="1" applyFill="1" applyBorder="1" applyAlignment="1">
      <alignment horizontal="center"/>
    </xf>
    <xf numFmtId="41" fontId="3" fillId="8" borderId="23" xfId="0" applyNumberFormat="1" applyFont="1" applyFill="1" applyBorder="1" applyAlignment="1">
      <alignment horizontal="center"/>
    </xf>
    <xf numFmtId="43" fontId="3" fillId="8" borderId="8" xfId="1" applyFont="1" applyFill="1" applyBorder="1"/>
    <xf numFmtId="41" fontId="3" fillId="8" borderId="8" xfId="0" applyNumberFormat="1" applyFont="1" applyFill="1" applyBorder="1"/>
    <xf numFmtId="41" fontId="3" fillId="8" borderId="10" xfId="0" applyNumberFormat="1" applyFont="1" applyFill="1" applyBorder="1"/>
    <xf numFmtId="41" fontId="3" fillId="8" borderId="24" xfId="0" applyNumberFormat="1" applyFont="1" applyFill="1" applyBorder="1"/>
    <xf numFmtId="0" fontId="3" fillId="8" borderId="10" xfId="0" applyFont="1" applyFill="1" applyBorder="1"/>
    <xf numFmtId="0" fontId="3" fillId="8" borderId="24" xfId="0" applyFont="1" applyFill="1" applyBorder="1"/>
    <xf numFmtId="43" fontId="3" fillId="8" borderId="12" xfId="1" applyFont="1" applyFill="1" applyBorder="1"/>
    <xf numFmtId="41" fontId="3" fillId="8" borderId="11" xfId="0" applyNumberFormat="1" applyFont="1" applyFill="1" applyBorder="1"/>
    <xf numFmtId="43" fontId="3" fillId="8" borderId="11" xfId="1" applyFont="1" applyFill="1" applyBorder="1"/>
    <xf numFmtId="10" fontId="3" fillId="8" borderId="33" xfId="1" applyNumberFormat="1" applyFont="1" applyFill="1" applyBorder="1"/>
    <xf numFmtId="43" fontId="3" fillId="8" borderId="18" xfId="1" applyFont="1" applyFill="1" applyBorder="1"/>
    <xf numFmtId="41" fontId="3" fillId="8" borderId="18" xfId="0" applyNumberFormat="1" applyFont="1" applyFill="1" applyBorder="1"/>
    <xf numFmtId="0" fontId="3" fillId="8" borderId="6" xfId="0" applyFont="1" applyFill="1" applyBorder="1"/>
    <xf numFmtId="0" fontId="3" fillId="8" borderId="7" xfId="0" applyFont="1" applyFill="1" applyBorder="1"/>
    <xf numFmtId="43" fontId="3" fillId="8" borderId="16" xfId="1" applyFont="1" applyFill="1" applyBorder="1"/>
    <xf numFmtId="0" fontId="3" fillId="8" borderId="9" xfId="0" applyFont="1" applyFill="1" applyBorder="1"/>
    <xf numFmtId="43" fontId="3" fillId="8" borderId="7" xfId="1" applyFont="1" applyFill="1" applyBorder="1"/>
    <xf numFmtId="41" fontId="3" fillId="8" borderId="7" xfId="0" applyNumberFormat="1" applyFont="1" applyFill="1" applyBorder="1"/>
    <xf numFmtId="43" fontId="3" fillId="8" borderId="10" xfId="1" applyFont="1" applyFill="1" applyBorder="1"/>
    <xf numFmtId="41" fontId="3" fillId="8" borderId="12" xfId="0" applyNumberFormat="1" applyFont="1" applyFill="1" applyBorder="1"/>
    <xf numFmtId="0" fontId="3" fillId="8" borderId="41" xfId="0" applyFont="1" applyFill="1" applyBorder="1"/>
    <xf numFmtId="0" fontId="4" fillId="8" borderId="6" xfId="0" applyFont="1" applyFill="1" applyBorder="1" applyAlignment="1">
      <alignment horizontal="center"/>
    </xf>
    <xf numFmtId="0" fontId="4" fillId="8" borderId="7" xfId="0" applyFont="1" applyFill="1" applyBorder="1" applyAlignment="1">
      <alignment horizontal="center"/>
    </xf>
    <xf numFmtId="43" fontId="4" fillId="8" borderId="8" xfId="1" applyFont="1" applyFill="1" applyBorder="1" applyAlignment="1">
      <alignment horizontal="center"/>
    </xf>
    <xf numFmtId="43" fontId="3" fillId="8" borderId="8" xfId="1" applyFont="1" applyFill="1" applyBorder="1" applyAlignment="1">
      <alignment horizontal="center"/>
    </xf>
    <xf numFmtId="0" fontId="3" fillId="8" borderId="8" xfId="0" applyFont="1" applyFill="1" applyBorder="1" applyAlignment="1">
      <alignment horizontal="center"/>
    </xf>
    <xf numFmtId="43" fontId="3" fillId="8" borderId="16" xfId="1" applyFont="1" applyFill="1" applyBorder="1" applyAlignment="1">
      <alignment horizontal="center"/>
    </xf>
    <xf numFmtId="0" fontId="3" fillId="8" borderId="0" xfId="0" applyFont="1" applyFill="1" applyBorder="1"/>
    <xf numFmtId="0" fontId="3" fillId="8" borderId="32" xfId="0" applyFont="1" applyFill="1" applyBorder="1"/>
    <xf numFmtId="0" fontId="3" fillId="8" borderId="23" xfId="0" applyFont="1" applyFill="1" applyBorder="1"/>
    <xf numFmtId="0" fontId="3" fillId="8" borderId="16" xfId="0" applyFont="1" applyFill="1" applyBorder="1" applyAlignment="1">
      <alignment horizontal="center"/>
    </xf>
    <xf numFmtId="43" fontId="3" fillId="8" borderId="19" xfId="1" applyFont="1" applyFill="1" applyBorder="1"/>
    <xf numFmtId="41" fontId="3" fillId="8" borderId="8" xfId="1" applyNumberFormat="1" applyFont="1" applyFill="1" applyBorder="1"/>
    <xf numFmtId="41" fontId="3" fillId="8" borderId="11" xfId="1" applyNumberFormat="1" applyFont="1" applyFill="1" applyBorder="1"/>
    <xf numFmtId="43" fontId="0" fillId="8" borderId="11" xfId="1" applyFont="1" applyFill="1" applyBorder="1"/>
    <xf numFmtId="41" fontId="3" fillId="8" borderId="23" xfId="0" applyNumberFormat="1" applyFont="1" applyFill="1" applyBorder="1"/>
    <xf numFmtId="41" fontId="3" fillId="8" borderId="33" xfId="0" applyNumberFormat="1" applyFont="1" applyFill="1" applyBorder="1"/>
    <xf numFmtId="0" fontId="3" fillId="8" borderId="11" xfId="0" applyFont="1" applyFill="1" applyBorder="1"/>
    <xf numFmtId="0" fontId="3" fillId="8" borderId="0" xfId="0" applyFont="1" applyFill="1"/>
    <xf numFmtId="43" fontId="3" fillId="8" borderId="0" xfId="1" applyFont="1" applyFill="1"/>
    <xf numFmtId="41" fontId="3" fillId="8" borderId="0" xfId="0" applyNumberFormat="1" applyFont="1" applyFill="1"/>
    <xf numFmtId="0" fontId="3" fillId="8" borderId="8" xfId="0" applyFont="1" applyFill="1" applyBorder="1"/>
    <xf numFmtId="41" fontId="3" fillId="8" borderId="43" xfId="0" applyNumberFormat="1" applyFont="1" applyFill="1" applyBorder="1"/>
    <xf numFmtId="41" fontId="3" fillId="8" borderId="42" xfId="0" applyNumberFormat="1" applyFont="1" applyFill="1" applyBorder="1"/>
    <xf numFmtId="43" fontId="4" fillId="8" borderId="30" xfId="1" applyFont="1" applyFill="1" applyBorder="1" applyAlignment="1">
      <alignment horizontal="center"/>
    </xf>
    <xf numFmtId="43" fontId="4" fillId="8" borderId="11" xfId="1" applyFont="1" applyFill="1" applyBorder="1"/>
    <xf numFmtId="41" fontId="3" fillId="8" borderId="47" xfId="0" applyNumberFormat="1" applyFont="1" applyFill="1" applyBorder="1"/>
    <xf numFmtId="41" fontId="3" fillId="8" borderId="22" xfId="0" applyNumberFormat="1" applyFont="1" applyFill="1" applyBorder="1"/>
    <xf numFmtId="41" fontId="3" fillId="8" borderId="40" xfId="0" applyNumberFormat="1" applyFont="1" applyFill="1" applyBorder="1"/>
    <xf numFmtId="41" fontId="3" fillId="8" borderId="44" xfId="0" applyNumberFormat="1" applyFont="1" applyFill="1" applyBorder="1"/>
    <xf numFmtId="43" fontId="3" fillId="8" borderId="33" xfId="1" applyFont="1" applyFill="1" applyBorder="1"/>
    <xf numFmtId="43" fontId="3" fillId="8" borderId="23" xfId="1" applyFont="1" applyFill="1" applyBorder="1"/>
    <xf numFmtId="41" fontId="3" fillId="8" borderId="37" xfId="0" applyNumberFormat="1" applyFont="1" applyFill="1" applyBorder="1"/>
    <xf numFmtId="43" fontId="3" fillId="8" borderId="24" xfId="1" applyFont="1" applyFill="1" applyBorder="1"/>
    <xf numFmtId="43" fontId="3" fillId="8" borderId="44" xfId="1" applyFont="1" applyFill="1" applyBorder="1"/>
    <xf numFmtId="43" fontId="3" fillId="8" borderId="43" xfId="1" applyFont="1" applyFill="1" applyBorder="1"/>
    <xf numFmtId="41" fontId="3" fillId="8" borderId="24" xfId="1" applyNumberFormat="1" applyFont="1" applyFill="1" applyBorder="1"/>
    <xf numFmtId="0" fontId="4" fillId="8" borderId="38" xfId="0" applyFont="1" applyFill="1" applyBorder="1" applyAlignment="1">
      <alignment horizontal="center"/>
    </xf>
    <xf numFmtId="0" fontId="4" fillId="8" borderId="16" xfId="0" applyFont="1" applyFill="1" applyBorder="1" applyAlignment="1">
      <alignment horizontal="center"/>
    </xf>
    <xf numFmtId="14" fontId="4" fillId="8" borderId="38" xfId="1" applyNumberFormat="1" applyFont="1" applyFill="1" applyBorder="1" applyAlignment="1">
      <alignment horizontal="center"/>
    </xf>
    <xf numFmtId="0" fontId="4" fillId="8" borderId="20" xfId="0" applyFont="1" applyFill="1" applyBorder="1" applyAlignment="1">
      <alignment horizontal="center"/>
    </xf>
    <xf numFmtId="41" fontId="3" fillId="8" borderId="11" xfId="0" applyNumberFormat="1" applyFont="1" applyFill="1" applyBorder="1" applyAlignment="1">
      <alignment horizontal="center"/>
    </xf>
    <xf numFmtId="43" fontId="3" fillId="8" borderId="11" xfId="1" applyFont="1" applyFill="1" applyBorder="1" applyAlignment="1">
      <alignment horizontal="center"/>
    </xf>
    <xf numFmtId="43" fontId="4" fillId="8" borderId="11" xfId="1" applyFont="1" applyFill="1" applyBorder="1" applyAlignment="1">
      <alignment horizontal="center"/>
    </xf>
    <xf numFmtId="41" fontId="4" fillId="8" borderId="10" xfId="0" applyNumberFormat="1" applyFont="1" applyFill="1" applyBorder="1" applyAlignment="1">
      <alignment horizontal="center"/>
    </xf>
    <xf numFmtId="41" fontId="4" fillId="8" borderId="24" xfId="0" applyNumberFormat="1" applyFont="1" applyFill="1" applyBorder="1" applyAlignment="1">
      <alignment horizontal="center"/>
    </xf>
    <xf numFmtId="43" fontId="3" fillId="8" borderId="11" xfId="1" quotePrefix="1" applyFont="1" applyFill="1" applyBorder="1"/>
    <xf numFmtId="43" fontId="4" fillId="8" borderId="11" xfId="1" quotePrefix="1" applyFont="1" applyFill="1" applyBorder="1"/>
    <xf numFmtId="41" fontId="3" fillId="8" borderId="24" xfId="0" quotePrefix="1" applyNumberFormat="1" applyFont="1" applyFill="1" applyBorder="1"/>
    <xf numFmtId="43" fontId="3" fillId="8" borderId="12" xfId="1" quotePrefix="1" applyFont="1" applyFill="1" applyBorder="1"/>
    <xf numFmtId="0" fontId="4" fillId="8" borderId="47" xfId="0" applyFont="1" applyFill="1" applyBorder="1" applyAlignment="1">
      <alignment horizontal="center"/>
    </xf>
    <xf numFmtId="0" fontId="4" fillId="8" borderId="22" xfId="0" applyFont="1" applyFill="1" applyBorder="1" applyAlignment="1">
      <alignment horizontal="center"/>
    </xf>
    <xf numFmtId="41" fontId="4" fillId="8" borderId="7" xfId="0" applyNumberFormat="1" applyFont="1" applyFill="1" applyBorder="1"/>
    <xf numFmtId="0" fontId="4" fillId="8" borderId="38" xfId="0" applyFont="1" applyFill="1" applyBorder="1"/>
    <xf numFmtId="43" fontId="4" fillId="8" borderId="38" xfId="1" applyFont="1" applyFill="1" applyBorder="1" applyAlignment="1">
      <alignment horizontal="center"/>
    </xf>
    <xf numFmtId="0" fontId="4" fillId="8" borderId="11" xfId="0" applyFont="1" applyFill="1" applyBorder="1" applyAlignment="1">
      <alignment horizontal="center"/>
    </xf>
    <xf numFmtId="0" fontId="3" fillId="8" borderId="11" xfId="0" applyFont="1" applyFill="1" applyBorder="1" applyAlignment="1">
      <alignment horizontal="center"/>
    </xf>
    <xf numFmtId="43" fontId="23" fillId="0" borderId="11" xfId="1" applyFont="1" applyFill="1" applyBorder="1"/>
    <xf numFmtId="0" fontId="4" fillId="9" borderId="4" xfId="0" applyFont="1" applyFill="1" applyBorder="1"/>
    <xf numFmtId="0" fontId="4" fillId="9" borderId="30" xfId="0" applyFont="1" applyFill="1" applyBorder="1"/>
    <xf numFmtId="0" fontId="4" fillId="9" borderId="5" xfId="0" applyFont="1" applyFill="1" applyBorder="1" applyAlignment="1">
      <alignment horizontal="center"/>
    </xf>
    <xf numFmtId="0" fontId="3" fillId="9" borderId="6" xfId="0" applyFont="1" applyFill="1" applyBorder="1"/>
    <xf numFmtId="0" fontId="3" fillId="9" borderId="7" xfId="0" applyFont="1" applyFill="1" applyBorder="1"/>
    <xf numFmtId="41" fontId="3" fillId="9" borderId="8" xfId="0" applyNumberFormat="1" applyFont="1" applyFill="1" applyBorder="1"/>
    <xf numFmtId="0" fontId="3" fillId="9" borderId="9" xfId="0" applyFont="1" applyFill="1" applyBorder="1"/>
    <xf numFmtId="0" fontId="3" fillId="9" borderId="10" xfId="0" applyFont="1" applyFill="1" applyBorder="1"/>
    <xf numFmtId="41" fontId="3" fillId="9" borderId="11" xfId="0" applyNumberFormat="1" applyFont="1" applyFill="1" applyBorder="1"/>
    <xf numFmtId="0" fontId="3" fillId="9" borderId="8" xfId="0" applyFont="1" applyFill="1" applyBorder="1"/>
    <xf numFmtId="0" fontId="3" fillId="9" borderId="11" xfId="0" applyFont="1" applyFill="1" applyBorder="1"/>
    <xf numFmtId="41" fontId="3" fillId="9" borderId="12" xfId="0" applyNumberFormat="1" applyFont="1" applyFill="1" applyBorder="1"/>
    <xf numFmtId="41" fontId="4" fillId="9" borderId="11" xfId="0" applyNumberFormat="1" applyFont="1" applyFill="1" applyBorder="1"/>
    <xf numFmtId="0" fontId="3" fillId="10" borderId="7" xfId="0" applyFont="1" applyFill="1" applyBorder="1"/>
    <xf numFmtId="41" fontId="3" fillId="10" borderId="8" xfId="0" applyNumberFormat="1" applyFont="1" applyFill="1" applyBorder="1"/>
    <xf numFmtId="0" fontId="3" fillId="10" borderId="9" xfId="0" applyFont="1" applyFill="1" applyBorder="1"/>
    <xf numFmtId="0" fontId="3" fillId="10" borderId="10" xfId="0" applyFont="1" applyFill="1" applyBorder="1"/>
    <xf numFmtId="41" fontId="3" fillId="10" borderId="11" xfId="0" applyNumberFormat="1" applyFont="1" applyFill="1" applyBorder="1"/>
    <xf numFmtId="0" fontId="3" fillId="10" borderId="8" xfId="0" applyFont="1" applyFill="1" applyBorder="1"/>
    <xf numFmtId="0" fontId="3" fillId="10" borderId="11" xfId="0" applyFont="1" applyFill="1" applyBorder="1"/>
    <xf numFmtId="41" fontId="3" fillId="10" borderId="12" xfId="0" applyNumberFormat="1" applyFont="1" applyFill="1" applyBorder="1"/>
    <xf numFmtId="41" fontId="4" fillId="10" borderId="11" xfId="0" applyNumberFormat="1" applyFont="1" applyFill="1" applyBorder="1"/>
    <xf numFmtId="0" fontId="4" fillId="6" borderId="4" xfId="0" applyFont="1" applyFill="1" applyBorder="1"/>
    <xf numFmtId="0" fontId="3" fillId="6" borderId="7" xfId="0" applyFont="1" applyFill="1" applyBorder="1"/>
    <xf numFmtId="0" fontId="3" fillId="6" borderId="9" xfId="0" applyFont="1" applyFill="1" applyBorder="1"/>
    <xf numFmtId="0" fontId="3" fillId="6" borderId="10" xfId="0" applyFont="1" applyFill="1" applyBorder="1"/>
    <xf numFmtId="0" fontId="3" fillId="6" borderId="8" xfId="0" applyFont="1" applyFill="1" applyBorder="1"/>
    <xf numFmtId="0" fontId="3" fillId="6" borderId="11" xfId="0" applyFont="1" applyFill="1" applyBorder="1"/>
    <xf numFmtId="41" fontId="4" fillId="6" borderId="11" xfId="0" applyNumberFormat="1" applyFont="1" applyFill="1" applyBorder="1"/>
    <xf numFmtId="41" fontId="3" fillId="6" borderId="17" xfId="0" applyNumberFormat="1" applyFont="1" applyFill="1" applyBorder="1"/>
    <xf numFmtId="0" fontId="4" fillId="10" borderId="6" xfId="0" applyFont="1" applyFill="1" applyBorder="1"/>
    <xf numFmtId="0" fontId="3" fillId="11" borderId="6" xfId="0" applyFont="1" applyFill="1" applyBorder="1"/>
    <xf numFmtId="0" fontId="3" fillId="11" borderId="7" xfId="0" applyFont="1" applyFill="1" applyBorder="1"/>
    <xf numFmtId="41" fontId="3" fillId="11" borderId="8" xfId="0" applyNumberFormat="1" applyFont="1" applyFill="1" applyBorder="1"/>
    <xf numFmtId="0" fontId="4" fillId="0" borderId="6" xfId="0" applyFont="1" applyBorder="1"/>
    <xf numFmtId="41" fontId="3" fillId="0" borderId="48" xfId="0" applyNumberFormat="1" applyFont="1" applyBorder="1"/>
    <xf numFmtId="41" fontId="3" fillId="4" borderId="16" xfId="0" applyNumberFormat="1" applyFont="1" applyFill="1" applyBorder="1"/>
    <xf numFmtId="41" fontId="3" fillId="0" borderId="50" xfId="0" applyNumberFormat="1" applyFont="1" applyBorder="1"/>
    <xf numFmtId="41" fontId="3" fillId="0" borderId="49" xfId="0" applyNumberFormat="1" applyFont="1" applyBorder="1"/>
    <xf numFmtId="0" fontId="3" fillId="0" borderId="18" xfId="0" applyFont="1" applyBorder="1"/>
    <xf numFmtId="43" fontId="3" fillId="0" borderId="18" xfId="0" applyNumberFormat="1" applyFont="1" applyBorder="1"/>
    <xf numFmtId="164" fontId="46" fillId="0" borderId="11" xfId="0" applyNumberFormat="1" applyFont="1" applyBorder="1"/>
    <xf numFmtId="164" fontId="46" fillId="0" borderId="8" xfId="0" applyNumberFormat="1" applyFont="1" applyBorder="1"/>
    <xf numFmtId="164" fontId="46" fillId="0" borderId="19" xfId="0" applyNumberFormat="1" applyFont="1" applyBorder="1"/>
    <xf numFmtId="14" fontId="4" fillId="8" borderId="8" xfId="1" applyNumberFormat="1" applyFont="1" applyFill="1" applyBorder="1" applyAlignment="1">
      <alignment horizontal="center"/>
    </xf>
    <xf numFmtId="41" fontId="3" fillId="8" borderId="10" xfId="0" quotePrefix="1" applyNumberFormat="1" applyFont="1" applyFill="1" applyBorder="1" applyAlignment="1">
      <alignment horizontal="left"/>
    </xf>
    <xf numFmtId="41" fontId="3" fillId="8" borderId="10" xfId="0" applyNumberFormat="1" applyFont="1" applyFill="1" applyBorder="1" applyAlignment="1">
      <alignment horizontal="left"/>
    </xf>
    <xf numFmtId="8" fontId="3" fillId="0" borderId="0" xfId="0" applyNumberFormat="1" applyFont="1" applyFill="1" applyBorder="1"/>
    <xf numFmtId="41" fontId="3" fillId="8" borderId="10" xfId="0" applyNumberFormat="1" applyFont="1" applyFill="1" applyBorder="1" applyAlignment="1">
      <alignment horizontal="left"/>
    </xf>
    <xf numFmtId="0" fontId="33" fillId="0" borderId="0" xfId="0" applyFont="1" applyAlignment="1">
      <alignment vertical="center"/>
    </xf>
    <xf numFmtId="0" fontId="5" fillId="0" borderId="0" xfId="0" applyFont="1" applyAlignment="1">
      <alignment horizontal="left" indent="5"/>
    </xf>
    <xf numFmtId="0" fontId="3" fillId="10" borderId="0" xfId="0" applyFont="1" applyFill="1" applyBorder="1"/>
    <xf numFmtId="0" fontId="3" fillId="6" borderId="0" xfId="0" applyFont="1" applyFill="1" applyBorder="1"/>
    <xf numFmtId="0" fontId="3" fillId="12" borderId="0" xfId="0" applyFont="1" applyFill="1" applyBorder="1"/>
    <xf numFmtId="0" fontId="3" fillId="0" borderId="0" xfId="0" applyFont="1" applyAlignment="1">
      <alignment horizontal="left" indent="5"/>
    </xf>
    <xf numFmtId="43" fontId="3" fillId="0" borderId="15" xfId="1" applyNumberFormat="1" applyFont="1" applyBorder="1"/>
    <xf numFmtId="0" fontId="48" fillId="0" borderId="0" xfId="0" applyFont="1"/>
    <xf numFmtId="41" fontId="2" fillId="0" borderId="26" xfId="0" applyNumberFormat="1" applyFont="1" applyBorder="1" applyAlignment="1">
      <alignment horizontal="center"/>
    </xf>
    <xf numFmtId="0" fontId="30" fillId="0" borderId="0" xfId="0" applyFont="1"/>
    <xf numFmtId="41" fontId="30" fillId="0" borderId="0" xfId="0" applyNumberFormat="1" applyFont="1"/>
    <xf numFmtId="41" fontId="30" fillId="0" borderId="0" xfId="0" applyNumberFormat="1" applyFont="1" applyFill="1" applyAlignment="1">
      <alignment horizontal="center"/>
    </xf>
    <xf numFmtId="41" fontId="30" fillId="0" borderId="0" xfId="0" applyNumberFormat="1" applyFont="1" applyAlignment="1">
      <alignment horizontal="center"/>
    </xf>
    <xf numFmtId="10" fontId="30" fillId="0" borderId="0" xfId="0" applyNumberFormat="1" applyFont="1"/>
    <xf numFmtId="41" fontId="30" fillId="0" borderId="28" xfId="0" applyNumberFormat="1" applyFont="1" applyBorder="1"/>
    <xf numFmtId="41" fontId="30" fillId="0" borderId="0" xfId="0" applyNumberFormat="1" applyFont="1" applyBorder="1"/>
    <xf numFmtId="41" fontId="30" fillId="0" borderId="27" xfId="0" applyNumberFormat="1" applyFont="1" applyBorder="1"/>
    <xf numFmtId="41" fontId="3" fillId="0" borderId="16" xfId="1" applyNumberFormat="1" applyFont="1" applyFill="1" applyBorder="1"/>
    <xf numFmtId="0" fontId="14" fillId="0" borderId="0" xfId="0" applyFont="1" applyAlignment="1">
      <alignment horizontal="center"/>
    </xf>
    <xf numFmtId="0" fontId="0" fillId="0" borderId="28" xfId="0" applyFill="1" applyBorder="1"/>
    <xf numFmtId="0" fontId="50" fillId="0" borderId="0" xfId="0" applyFont="1"/>
    <xf numFmtId="43" fontId="30" fillId="0" borderId="0" xfId="1" applyFont="1"/>
    <xf numFmtId="0" fontId="13" fillId="0" borderId="0" xfId="0" applyFont="1"/>
    <xf numFmtId="0" fontId="30" fillId="0" borderId="40" xfId="0" applyFont="1" applyBorder="1"/>
    <xf numFmtId="0" fontId="30" fillId="0" borderId="26" xfId="0" applyFont="1" applyBorder="1"/>
    <xf numFmtId="43" fontId="30" fillId="0" borderId="26" xfId="1" applyFont="1" applyBorder="1"/>
    <xf numFmtId="0" fontId="30" fillId="0" borderId="44" xfId="0" applyFont="1" applyBorder="1"/>
    <xf numFmtId="0" fontId="30" fillId="0" borderId="20" xfId="0" applyFont="1" applyBorder="1"/>
    <xf numFmtId="0" fontId="30" fillId="0" borderId="0" xfId="0" applyFont="1" applyBorder="1"/>
    <xf numFmtId="43" fontId="30" fillId="0" borderId="0" xfId="1" applyFont="1" applyBorder="1"/>
    <xf numFmtId="0" fontId="30" fillId="0" borderId="38" xfId="0" applyFont="1" applyBorder="1"/>
    <xf numFmtId="43" fontId="30" fillId="0" borderId="28" xfId="1" applyFont="1" applyFill="1" applyBorder="1"/>
    <xf numFmtId="43" fontId="30" fillId="0" borderId="28" xfId="1" applyFont="1" applyBorder="1"/>
    <xf numFmtId="0" fontId="30" fillId="0" borderId="7" xfId="0" applyFont="1" applyBorder="1"/>
    <xf numFmtId="0" fontId="30" fillId="0" borderId="28" xfId="0" applyFont="1" applyBorder="1"/>
    <xf numFmtId="0" fontId="30" fillId="0" borderId="33" xfId="0" applyFont="1" applyBorder="1"/>
    <xf numFmtId="43" fontId="30" fillId="0" borderId="0" xfId="0" applyNumberFormat="1" applyFont="1" applyBorder="1"/>
    <xf numFmtId="9" fontId="30" fillId="0" borderId="0" xfId="0" applyNumberFormat="1" applyFont="1" applyBorder="1"/>
    <xf numFmtId="16" fontId="30" fillId="0" borderId="0" xfId="0" applyNumberFormat="1" applyFont="1" applyBorder="1"/>
    <xf numFmtId="10" fontId="30" fillId="0" borderId="0" xfId="0" applyNumberFormat="1" applyFont="1" applyBorder="1"/>
    <xf numFmtId="43" fontId="13" fillId="0" borderId="0" xfId="1" applyFont="1" applyBorder="1"/>
    <xf numFmtId="0" fontId="30" fillId="0" borderId="0" xfId="0" applyFont="1" applyFill="1" applyBorder="1"/>
    <xf numFmtId="43" fontId="30" fillId="0" borderId="0" xfId="0" applyNumberFormat="1" applyFont="1" applyFill="1" applyBorder="1"/>
    <xf numFmtId="43" fontId="13" fillId="0" borderId="28" xfId="1" applyFont="1" applyBorder="1"/>
    <xf numFmtId="43" fontId="30" fillId="0" borderId="28" xfId="0" applyNumberFormat="1" applyFont="1" applyBorder="1"/>
    <xf numFmtId="10" fontId="30" fillId="0" borderId="0" xfId="1" applyNumberFormat="1" applyFont="1" applyBorder="1"/>
    <xf numFmtId="9" fontId="30" fillId="0" borderId="0" xfId="1" applyNumberFormat="1" applyFont="1" applyBorder="1"/>
    <xf numFmtId="0" fontId="13" fillId="0" borderId="0" xfId="0" applyFont="1" applyFill="1" applyBorder="1"/>
    <xf numFmtId="9" fontId="30" fillId="0" borderId="28" xfId="1" applyNumberFormat="1" applyFont="1" applyBorder="1"/>
    <xf numFmtId="0" fontId="30" fillId="0" borderId="0" xfId="0" applyFont="1" applyAlignment="1">
      <alignment horizontal="center"/>
    </xf>
    <xf numFmtId="14" fontId="30" fillId="0" borderId="0" xfId="0" applyNumberFormat="1" applyFont="1" applyAlignment="1">
      <alignment horizontal="center"/>
    </xf>
    <xf numFmtId="0" fontId="51" fillId="0" borderId="0" xfId="0" applyFont="1"/>
    <xf numFmtId="41" fontId="30" fillId="0" borderId="0" xfId="0" applyNumberFormat="1" applyFont="1" applyFill="1"/>
    <xf numFmtId="10" fontId="30" fillId="0" borderId="0" xfId="0" applyNumberFormat="1" applyFont="1" applyAlignment="1">
      <alignment horizontal="left"/>
    </xf>
    <xf numFmtId="41" fontId="30" fillId="0" borderId="26" xfId="0" applyNumberFormat="1" applyFont="1" applyBorder="1"/>
    <xf numFmtId="41" fontId="30" fillId="0" borderId="26" xfId="0" applyNumberFormat="1" applyFont="1" applyFill="1" applyBorder="1"/>
    <xf numFmtId="10" fontId="30" fillId="0" borderId="0" xfId="3" applyNumberFormat="1" applyFont="1" applyFill="1" applyBorder="1"/>
    <xf numFmtId="41" fontId="30" fillId="0" borderId="0" xfId="3" applyNumberFormat="1" applyFont="1"/>
    <xf numFmtId="41" fontId="30" fillId="0" borderId="28" xfId="0" applyNumberFormat="1" applyFont="1" applyFill="1" applyBorder="1"/>
    <xf numFmtId="41" fontId="30" fillId="0" borderId="27" xfId="0" applyNumberFormat="1" applyFont="1" applyFill="1" applyBorder="1"/>
    <xf numFmtId="0" fontId="51" fillId="0" borderId="0" xfId="0" applyFont="1" applyBorder="1"/>
    <xf numFmtId="9" fontId="30" fillId="0" borderId="0" xfId="0" applyNumberFormat="1" applyFont="1" applyBorder="1" applyAlignment="1">
      <alignment horizontal="left"/>
    </xf>
    <xf numFmtId="0" fontId="14" fillId="0" borderId="0" xfId="0" applyFont="1" applyAlignment="1">
      <alignment horizontal="center"/>
    </xf>
    <xf numFmtId="0" fontId="4" fillId="0" borderId="37" xfId="0" applyFont="1" applyBorder="1"/>
    <xf numFmtId="41" fontId="3" fillId="8" borderId="33" xfId="1" applyNumberFormat="1" applyFont="1" applyFill="1" applyBorder="1"/>
    <xf numFmtId="41" fontId="3" fillId="8" borderId="12" xfId="1" applyNumberFormat="1" applyFont="1" applyFill="1" applyBorder="1"/>
    <xf numFmtId="41" fontId="3" fillId="8" borderId="8" xfId="1" applyNumberFormat="1" applyFont="1" applyFill="1" applyBorder="1" applyAlignment="1">
      <alignment horizontal="center"/>
    </xf>
    <xf numFmtId="41" fontId="3" fillId="8" borderId="16" xfId="1" applyNumberFormat="1" applyFont="1" applyFill="1" applyBorder="1" applyAlignment="1">
      <alignment horizontal="center"/>
    </xf>
    <xf numFmtId="41" fontId="3" fillId="8" borderId="18" xfId="1" applyNumberFormat="1" applyFont="1" applyFill="1" applyBorder="1"/>
    <xf numFmtId="41" fontId="0" fillId="13" borderId="46" xfId="1" applyNumberFormat="1" applyFont="1" applyFill="1" applyBorder="1"/>
    <xf numFmtId="43" fontId="2" fillId="0" borderId="46" xfId="1" applyFont="1" applyFill="1" applyBorder="1"/>
    <xf numFmtId="41" fontId="0" fillId="0" borderId="0" xfId="0" applyNumberFormat="1" applyFont="1" applyFill="1"/>
    <xf numFmtId="41" fontId="2" fillId="0" borderId="0" xfId="2" applyNumberFormat="1" applyFont="1" applyAlignment="1" applyProtection="1"/>
    <xf numFmtId="41" fontId="0" fillId="0" borderId="0" xfId="0" applyNumberFormat="1" applyFill="1" applyAlignment="1">
      <alignment horizontal="center"/>
    </xf>
    <xf numFmtId="41" fontId="0" fillId="0" borderId="0" xfId="1" applyNumberFormat="1" applyFont="1" applyFill="1" applyAlignment="1">
      <alignment horizontal="center"/>
    </xf>
    <xf numFmtId="41" fontId="30" fillId="0" borderId="44" xfId="0" applyNumberFormat="1" applyFont="1" applyBorder="1"/>
    <xf numFmtId="41" fontId="30" fillId="0" borderId="38" xfId="0" applyNumberFormat="1" applyFont="1" applyBorder="1"/>
    <xf numFmtId="41" fontId="30" fillId="0" borderId="33" xfId="0" applyNumberFormat="1" applyFont="1" applyBorder="1"/>
    <xf numFmtId="41" fontId="30" fillId="0" borderId="18" xfId="0" applyNumberFormat="1" applyFont="1" applyBorder="1"/>
    <xf numFmtId="41" fontId="30" fillId="0" borderId="8" xfId="0" applyNumberFormat="1" applyFont="1" applyBorder="1"/>
    <xf numFmtId="41" fontId="30" fillId="0" borderId="16" xfId="0" applyNumberFormat="1" applyFont="1" applyBorder="1"/>
    <xf numFmtId="168" fontId="3" fillId="0" borderId="15" xfId="1" applyNumberFormat="1" applyFont="1" applyBorder="1"/>
    <xf numFmtId="41" fontId="4" fillId="8" borderId="11" xfId="0" applyNumberFormat="1" applyFont="1" applyFill="1" applyBorder="1"/>
    <xf numFmtId="168" fontId="3" fillId="8" borderId="11" xfId="1" applyNumberFormat="1" applyFont="1" applyFill="1" applyBorder="1"/>
    <xf numFmtId="167" fontId="3" fillId="0" borderId="15" xfId="1" applyNumberFormat="1" applyFont="1" applyBorder="1"/>
    <xf numFmtId="41" fontId="49" fillId="0" borderId="18" xfId="0" applyNumberFormat="1" applyFont="1" applyFill="1" applyBorder="1"/>
    <xf numFmtId="41" fontId="4" fillId="0" borderId="12" xfId="0" applyNumberFormat="1" applyFont="1" applyFill="1" applyBorder="1"/>
    <xf numFmtId="43" fontId="8" fillId="0" borderId="0" xfId="1" applyFont="1"/>
    <xf numFmtId="14" fontId="3" fillId="0" borderId="16" xfId="0" applyNumberFormat="1" applyFont="1" applyBorder="1"/>
    <xf numFmtId="9" fontId="4" fillId="0" borderId="18" xfId="3" applyFont="1" applyFill="1" applyBorder="1"/>
    <xf numFmtId="43" fontId="9" fillId="0" borderId="11" xfId="1" applyFont="1" applyBorder="1"/>
    <xf numFmtId="0" fontId="3" fillId="0" borderId="0" xfId="0" applyFont="1" applyAlignment="1">
      <alignment horizontal="center"/>
    </xf>
    <xf numFmtId="0" fontId="32" fillId="0" borderId="0" xfId="0" applyFont="1"/>
    <xf numFmtId="0" fontId="32" fillId="0" borderId="0" xfId="0" applyFont="1" applyAlignment="1">
      <alignment horizontal="center"/>
    </xf>
    <xf numFmtId="43" fontId="3" fillId="0" borderId="10" xfId="1" applyFont="1" applyFill="1" applyBorder="1" applyAlignment="1">
      <alignment horizontal="left"/>
    </xf>
    <xf numFmtId="16" fontId="3" fillId="0" borderId="0" xfId="0" applyNumberFormat="1" applyFont="1" applyAlignment="1">
      <alignment horizontal="left"/>
    </xf>
    <xf numFmtId="0" fontId="52" fillId="0" borderId="0" xfId="0" applyFont="1"/>
    <xf numFmtId="41" fontId="5" fillId="0" borderId="0" xfId="0" applyNumberFormat="1" applyFont="1"/>
    <xf numFmtId="14" fontId="0" fillId="0" borderId="0" xfId="0" applyNumberFormat="1" applyFill="1" applyBorder="1"/>
    <xf numFmtId="0" fontId="8" fillId="0" borderId="0" xfId="0" applyFont="1" applyFill="1" applyBorder="1"/>
    <xf numFmtId="43" fontId="3" fillId="0" borderId="16" xfId="0" applyNumberFormat="1" applyFont="1" applyBorder="1"/>
    <xf numFmtId="41" fontId="8" fillId="0" borderId="0" xfId="0" applyNumberFormat="1" applyFont="1" applyFill="1" applyBorder="1"/>
    <xf numFmtId="41" fontId="8" fillId="0" borderId="0" xfId="0" applyNumberFormat="1" applyFont="1" applyFill="1"/>
    <xf numFmtId="41" fontId="8" fillId="0" borderId="0" xfId="1" applyNumberFormat="1" applyFont="1" applyFill="1"/>
    <xf numFmtId="0" fontId="30" fillId="0" borderId="0" xfId="0" applyFont="1" applyFill="1"/>
    <xf numFmtId="41" fontId="3" fillId="0" borderId="0" xfId="0" applyNumberFormat="1" applyFont="1" applyFill="1" applyAlignment="1">
      <alignment horizontal="center"/>
    </xf>
    <xf numFmtId="10" fontId="3" fillId="0" borderId="0" xfId="0" applyNumberFormat="1" applyFont="1"/>
    <xf numFmtId="10" fontId="5" fillId="0" borderId="0" xfId="0" applyNumberFormat="1" applyFont="1"/>
    <xf numFmtId="41" fontId="5" fillId="0" borderId="0" xfId="0" applyNumberFormat="1" applyFont="1" applyFill="1" applyAlignment="1">
      <alignment horizontal="center"/>
    </xf>
    <xf numFmtId="41" fontId="5" fillId="0" borderId="0" xfId="0" applyNumberFormat="1" applyFont="1" applyAlignment="1">
      <alignment horizontal="center"/>
    </xf>
    <xf numFmtId="0" fontId="5" fillId="0" borderId="0" xfId="0" applyFont="1" applyAlignment="1">
      <alignment horizontal="center"/>
    </xf>
    <xf numFmtId="169" fontId="5" fillId="0" borderId="0" xfId="0" applyNumberFormat="1" applyFont="1"/>
    <xf numFmtId="41" fontId="5" fillId="0" borderId="28" xfId="0" applyNumberFormat="1" applyFont="1" applyBorder="1"/>
    <xf numFmtId="41" fontId="5" fillId="0" borderId="27" xfId="0" applyNumberFormat="1" applyFont="1" applyBorder="1"/>
    <xf numFmtId="0" fontId="28" fillId="0" borderId="0" xfId="0" applyFont="1" applyAlignment="1">
      <alignment horizontal="left" vertical="center" wrapText="1"/>
    </xf>
    <xf numFmtId="0" fontId="14" fillId="0" borderId="0" xfId="0" applyFont="1" applyAlignment="1">
      <alignment horizontal="center"/>
    </xf>
    <xf numFmtId="0" fontId="4" fillId="0" borderId="19" xfId="0" applyFont="1" applyBorder="1" applyAlignment="1">
      <alignment horizontal="center"/>
    </xf>
    <xf numFmtId="41" fontId="3" fillId="8" borderId="7" xfId="1" applyNumberFormat="1" applyFont="1" applyFill="1" applyBorder="1"/>
    <xf numFmtId="0" fontId="4" fillId="8" borderId="2" xfId="0" applyFont="1" applyFill="1" applyBorder="1" applyAlignment="1">
      <alignment horizontal="center"/>
    </xf>
    <xf numFmtId="0" fontId="4" fillId="8" borderId="29" xfId="0" applyFont="1" applyFill="1" applyBorder="1" applyAlignment="1">
      <alignment horizontal="center"/>
    </xf>
    <xf numFmtId="41" fontId="3" fillId="8" borderId="51" xfId="0" applyNumberFormat="1" applyFont="1" applyFill="1" applyBorder="1"/>
    <xf numFmtId="41" fontId="3" fillId="8" borderId="41" xfId="0" applyNumberFormat="1" applyFont="1" applyFill="1" applyBorder="1"/>
    <xf numFmtId="41" fontId="3" fillId="8" borderId="41" xfId="1" applyNumberFormat="1" applyFont="1" applyFill="1" applyBorder="1"/>
    <xf numFmtId="168" fontId="28" fillId="0" borderId="0" xfId="1" applyNumberFormat="1" applyFont="1"/>
    <xf numFmtId="168" fontId="28" fillId="0" borderId="0" xfId="0" applyNumberFormat="1" applyFont="1"/>
    <xf numFmtId="43" fontId="1" fillId="0" borderId="38" xfId="1" applyFont="1" applyFill="1" applyBorder="1"/>
    <xf numFmtId="43" fontId="1" fillId="0" borderId="33" xfId="1" applyFont="1" applyFill="1" applyBorder="1"/>
    <xf numFmtId="0" fontId="14" fillId="0" borderId="44" xfId="0" applyFont="1" applyBorder="1" applyAlignment="1">
      <alignment horizontal="center"/>
    </xf>
    <xf numFmtId="0" fontId="14" fillId="0" borderId="38" xfId="0" applyFont="1" applyBorder="1" applyAlignment="1">
      <alignment horizontal="center"/>
    </xf>
    <xf numFmtId="168" fontId="0" fillId="0" borderId="46" xfId="1" applyNumberFormat="1" applyFont="1" applyBorder="1"/>
    <xf numFmtId="43" fontId="2" fillId="13" borderId="46" xfId="1" applyFont="1" applyFill="1" applyBorder="1"/>
    <xf numFmtId="0" fontId="2" fillId="0" borderId="0" xfId="0" applyFont="1" applyFill="1" applyAlignment="1">
      <alignment horizontal="center"/>
    </xf>
    <xf numFmtId="43" fontId="0" fillId="0" borderId="46" xfId="1" applyFont="1" applyFill="1" applyBorder="1"/>
    <xf numFmtId="168" fontId="0" fillId="0" borderId="46" xfId="1" applyNumberFormat="1" applyFont="1" applyFill="1" applyBorder="1"/>
    <xf numFmtId="43" fontId="3" fillId="0" borderId="11" xfId="1" applyFont="1" applyFill="1" applyBorder="1" applyAlignment="1">
      <alignment horizontal="right"/>
    </xf>
    <xf numFmtId="0" fontId="3" fillId="0" borderId="0" xfId="0" applyNumberFormat="1" applyFont="1" applyBorder="1"/>
    <xf numFmtId="0" fontId="0" fillId="0" borderId="0" xfId="1" applyNumberFormat="1" applyFont="1"/>
    <xf numFmtId="41" fontId="30" fillId="0" borderId="0" xfId="3" applyNumberFormat="1" applyFont="1" applyBorder="1"/>
    <xf numFmtId="41" fontId="30" fillId="0" borderId="0" xfId="0" applyNumberFormat="1" applyFont="1" applyBorder="1" applyAlignment="1">
      <alignment horizontal="center"/>
    </xf>
    <xf numFmtId="165" fontId="2" fillId="0" borderId="20" xfId="0" applyNumberFormat="1" applyFont="1" applyBorder="1"/>
    <xf numFmtId="43" fontId="0" fillId="0" borderId="20" xfId="1" applyFont="1" applyBorder="1"/>
    <xf numFmtId="43" fontId="3" fillId="0" borderId="44" xfId="1" applyFont="1" applyFill="1" applyBorder="1"/>
    <xf numFmtId="43" fontId="46" fillId="0" borderId="11" xfId="1" applyFont="1" applyBorder="1"/>
    <xf numFmtId="43" fontId="46" fillId="0" borderId="8" xfId="1" applyFont="1" applyBorder="1"/>
    <xf numFmtId="43" fontId="46" fillId="0" borderId="19" xfId="1" applyFont="1" applyBorder="1"/>
    <xf numFmtId="0" fontId="4" fillId="0" borderId="37" xfId="0" applyFont="1" applyFill="1" applyBorder="1"/>
    <xf numFmtId="0" fontId="4" fillId="0" borderId="38" xfId="0" applyFont="1" applyFill="1" applyBorder="1"/>
    <xf numFmtId="0" fontId="4" fillId="0" borderId="30" xfId="0" applyFont="1" applyFill="1" applyBorder="1"/>
    <xf numFmtId="43" fontId="3" fillId="0" borderId="38" xfId="1" applyFont="1" applyBorder="1"/>
    <xf numFmtId="43" fontId="3" fillId="0" borderId="52" xfId="1" applyFont="1" applyBorder="1"/>
    <xf numFmtId="43" fontId="3" fillId="0" borderId="24" xfId="1" quotePrefix="1" applyFont="1" applyBorder="1"/>
    <xf numFmtId="43" fontId="3" fillId="0" borderId="43" xfId="1" quotePrefix="1" applyFont="1" applyBorder="1"/>
    <xf numFmtId="43" fontId="12" fillId="0" borderId="33" xfId="1" applyFont="1" applyBorder="1" applyAlignment="1">
      <alignment horizontal="center"/>
    </xf>
    <xf numFmtId="43" fontId="3" fillId="0" borderId="25" xfId="1" applyFont="1" applyBorder="1"/>
    <xf numFmtId="43" fontId="4" fillId="8" borderId="2" xfId="1" applyFont="1" applyFill="1" applyBorder="1" applyAlignment="1">
      <alignment horizontal="center"/>
    </xf>
    <xf numFmtId="43" fontId="3" fillId="0" borderId="53" xfId="1" applyFont="1" applyFill="1" applyBorder="1"/>
    <xf numFmtId="43" fontId="3" fillId="0" borderId="52" xfId="1" applyFont="1" applyFill="1" applyBorder="1"/>
    <xf numFmtId="43" fontId="3" fillId="0" borderId="53" xfId="1" applyFont="1" applyBorder="1"/>
    <xf numFmtId="43" fontId="3" fillId="0" borderId="38" xfId="1" applyFont="1" applyBorder="1" applyAlignment="1">
      <alignment horizontal="center"/>
    </xf>
    <xf numFmtId="0" fontId="4" fillId="0" borderId="23" xfId="0" applyFont="1" applyFill="1" applyBorder="1" applyAlignment="1">
      <alignment horizontal="center"/>
    </xf>
    <xf numFmtId="0" fontId="4" fillId="0" borderId="11" xfId="0" applyFont="1" applyFill="1" applyBorder="1"/>
    <xf numFmtId="0" fontId="4" fillId="0" borderId="15" xfId="0" applyFont="1" applyFill="1" applyBorder="1"/>
    <xf numFmtId="0" fontId="4" fillId="0" borderId="15" xfId="0" applyFont="1" applyBorder="1"/>
    <xf numFmtId="0" fontId="3" fillId="0" borderId="38" xfId="0" applyFont="1" applyBorder="1"/>
    <xf numFmtId="0" fontId="4" fillId="8" borderId="37" xfId="0" applyFont="1" applyFill="1" applyBorder="1"/>
    <xf numFmtId="0" fontId="3" fillId="0" borderId="38" xfId="0" applyFont="1" applyFill="1" applyBorder="1"/>
    <xf numFmtId="43" fontId="4" fillId="0" borderId="42" xfId="1" applyFont="1" applyFill="1" applyBorder="1"/>
    <xf numFmtId="41" fontId="2" fillId="0" borderId="0" xfId="0" applyNumberFormat="1" applyFont="1" applyAlignment="1">
      <alignment wrapText="1"/>
    </xf>
    <xf numFmtId="0" fontId="2" fillId="0" borderId="0" xfId="0" applyFont="1" applyAlignment="1">
      <alignment wrapText="1"/>
    </xf>
    <xf numFmtId="41" fontId="2" fillId="0" borderId="43" xfId="0" applyNumberFormat="1" applyFont="1" applyBorder="1"/>
    <xf numFmtId="0" fontId="3" fillId="0" borderId="18" xfId="0" applyFont="1" applyFill="1" applyBorder="1"/>
    <xf numFmtId="43" fontId="4" fillId="0" borderId="40" xfId="1" applyFont="1" applyFill="1" applyBorder="1" applyAlignment="1">
      <alignment horizontal="center"/>
    </xf>
    <xf numFmtId="168" fontId="30" fillId="0" borderId="0" xfId="0" applyNumberFormat="1" applyFont="1"/>
    <xf numFmtId="43" fontId="3" fillId="8" borderId="0" xfId="1" applyFont="1" applyFill="1" applyBorder="1"/>
    <xf numFmtId="41" fontId="3" fillId="8" borderId="0" xfId="0" applyNumberFormat="1" applyFont="1" applyFill="1" applyBorder="1"/>
    <xf numFmtId="41" fontId="3" fillId="8" borderId="0" xfId="1" applyNumberFormat="1" applyFont="1" applyFill="1" applyBorder="1"/>
    <xf numFmtId="10" fontId="3" fillId="8" borderId="0" xfId="1" applyNumberFormat="1" applyFont="1" applyFill="1" applyBorder="1"/>
    <xf numFmtId="41" fontId="3" fillId="4" borderId="11" xfId="0" applyNumberFormat="1" applyFont="1" applyFill="1" applyBorder="1"/>
    <xf numFmtId="164" fontId="3" fillId="8" borderId="10" xfId="0" applyNumberFormat="1" applyFont="1" applyFill="1" applyBorder="1"/>
    <xf numFmtId="165" fontId="3" fillId="8" borderId="10" xfId="0" applyNumberFormat="1" applyFont="1" applyFill="1" applyBorder="1"/>
    <xf numFmtId="43" fontId="4" fillId="0" borderId="8" xfId="1" applyFont="1" applyFill="1" applyBorder="1"/>
    <xf numFmtId="41" fontId="3" fillId="0" borderId="7" xfId="0" applyNumberFormat="1" applyFont="1" applyFill="1" applyBorder="1"/>
    <xf numFmtId="168" fontId="0" fillId="0" borderId="0" xfId="1" applyNumberFormat="1" applyFont="1"/>
    <xf numFmtId="0" fontId="3" fillId="4" borderId="11" xfId="0" applyFont="1" applyFill="1" applyBorder="1"/>
    <xf numFmtId="41" fontId="3" fillId="8" borderId="16" xfId="0" applyNumberFormat="1" applyFont="1" applyFill="1" applyBorder="1"/>
    <xf numFmtId="43" fontId="0" fillId="0" borderId="28" xfId="1" applyFont="1" applyBorder="1"/>
    <xf numFmtId="168" fontId="3" fillId="0" borderId="0" xfId="1" applyNumberFormat="1" applyFont="1"/>
    <xf numFmtId="10" fontId="3" fillId="0" borderId="0" xfId="1" applyNumberFormat="1" applyFont="1" applyFill="1" applyBorder="1"/>
    <xf numFmtId="10" fontId="3" fillId="0" borderId="0" xfId="0" applyNumberFormat="1" applyFont="1" applyFill="1" applyBorder="1"/>
    <xf numFmtId="168" fontId="3" fillId="8" borderId="8" xfId="1" applyNumberFormat="1" applyFont="1" applyFill="1" applyBorder="1"/>
    <xf numFmtId="41" fontId="3" fillId="8" borderId="0" xfId="0" applyNumberFormat="1" applyFont="1" applyFill="1" applyBorder="1" applyAlignment="1">
      <alignment horizontal="left"/>
    </xf>
    <xf numFmtId="10" fontId="3" fillId="0" borderId="0" xfId="0" applyNumberFormat="1" applyFont="1" applyBorder="1"/>
    <xf numFmtId="41" fontId="3" fillId="0" borderId="28" xfId="0" applyNumberFormat="1" applyFont="1" applyBorder="1"/>
    <xf numFmtId="10" fontId="3" fillId="0" borderId="28" xfId="0" applyNumberFormat="1" applyFont="1" applyBorder="1"/>
    <xf numFmtId="0" fontId="3" fillId="4" borderId="9" xfId="0" applyFont="1" applyFill="1" applyBorder="1"/>
    <xf numFmtId="0" fontId="28" fillId="0" borderId="0" xfId="0" applyFont="1" applyFill="1"/>
    <xf numFmtId="9" fontId="0" fillId="0" borderId="0" xfId="3" applyFont="1"/>
    <xf numFmtId="9" fontId="3" fillId="0" borderId="0" xfId="3" applyFont="1"/>
    <xf numFmtId="41" fontId="2" fillId="4" borderId="0" xfId="1" applyNumberFormat="1" applyFont="1" applyFill="1"/>
    <xf numFmtId="41" fontId="9" fillId="4" borderId="0" xfId="1" applyNumberFormat="1" applyFont="1" applyFill="1"/>
    <xf numFmtId="0" fontId="3" fillId="0" borderId="35" xfId="0" applyFont="1" applyFill="1" applyBorder="1" applyAlignment="1">
      <alignment horizontal="center"/>
    </xf>
    <xf numFmtId="0" fontId="0" fillId="0" borderId="3" xfId="0" applyFill="1" applyBorder="1"/>
    <xf numFmtId="43" fontId="3" fillId="0" borderId="31" xfId="1" applyFont="1" applyFill="1" applyBorder="1" applyAlignment="1">
      <alignment horizontal="center"/>
    </xf>
    <xf numFmtId="0" fontId="3" fillId="0" borderId="3" xfId="0" applyFont="1" applyFill="1" applyBorder="1" applyAlignment="1">
      <alignment horizontal="center"/>
    </xf>
    <xf numFmtId="0" fontId="3" fillId="0" borderId="37" xfId="0" applyFont="1" applyFill="1" applyBorder="1" applyAlignment="1">
      <alignment horizontal="center"/>
    </xf>
    <xf numFmtId="0" fontId="3" fillId="0" borderId="36" xfId="0" applyFont="1" applyFill="1" applyBorder="1" applyAlignment="1">
      <alignment horizontal="center"/>
    </xf>
    <xf numFmtId="0" fontId="3" fillId="0" borderId="5" xfId="0" applyFont="1" applyFill="1" applyBorder="1"/>
    <xf numFmtId="43" fontId="3" fillId="0" borderId="18" xfId="0" applyNumberFormat="1" applyFont="1" applyFill="1" applyBorder="1"/>
    <xf numFmtId="43" fontId="3" fillId="0" borderId="11" xfId="0" applyNumberFormat="1" applyFont="1" applyFill="1" applyBorder="1"/>
    <xf numFmtId="0" fontId="3" fillId="0" borderId="2" xfId="0" applyFont="1" applyBorder="1"/>
    <xf numFmtId="43" fontId="3" fillId="0" borderId="2" xfId="1" applyFont="1" applyBorder="1"/>
    <xf numFmtId="168" fontId="3" fillId="0" borderId="0" xfId="1" applyNumberFormat="1" applyFont="1" applyBorder="1"/>
    <xf numFmtId="0" fontId="28" fillId="0" borderId="0" xfId="0" applyFont="1" applyFill="1" applyAlignment="1">
      <alignment vertical="center"/>
    </xf>
    <xf numFmtId="0" fontId="28" fillId="0" borderId="0" xfId="0" applyFont="1" applyFill="1" applyAlignment="1"/>
    <xf numFmtId="43" fontId="28" fillId="0" borderId="0" xfId="1" applyFont="1" applyFill="1"/>
    <xf numFmtId="16" fontId="28" fillId="0" borderId="0" xfId="0" applyNumberFormat="1" applyFont="1" applyFill="1"/>
    <xf numFmtId="43" fontId="3" fillId="0" borderId="20" xfId="1" applyFont="1" applyFill="1" applyBorder="1"/>
    <xf numFmtId="0" fontId="28" fillId="0" borderId="0" xfId="0" applyFont="1" applyAlignment="1">
      <alignment horizontal="left" vertical="center" wrapText="1"/>
    </xf>
    <xf numFmtId="0" fontId="14" fillId="0" borderId="0" xfId="0" applyFont="1" applyAlignment="1">
      <alignment horizontal="center"/>
    </xf>
    <xf numFmtId="0" fontId="22" fillId="0" borderId="28" xfId="0" applyFont="1" applyFill="1" applyBorder="1" applyAlignment="1">
      <alignment horizontal="center"/>
    </xf>
    <xf numFmtId="0" fontId="22" fillId="0" borderId="0" xfId="0" applyFont="1" applyFill="1" applyBorder="1" applyAlignment="1">
      <alignment horizontal="center"/>
    </xf>
    <xf numFmtId="0" fontId="3" fillId="0" borderId="0" xfId="0" applyFont="1" applyAlignment="1">
      <alignment horizontal="center"/>
    </xf>
  </cellXfs>
  <cellStyles count="6">
    <cellStyle name="Comma" xfId="1" builtinId="3"/>
    <cellStyle name="Comma 2" xfId="5"/>
    <cellStyle name="Hyperlink" xfId="2" builtinId="8"/>
    <cellStyle name="Normal" xfId="0" builtinId="0"/>
    <cellStyle name="Normal 2 2" xfId="4"/>
    <cellStyle name="Percent" xfId="3" builtinId="5"/>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pane ySplit="1" topLeftCell="A18" activePane="bottomLeft" state="frozen"/>
      <selection pane="bottomLeft" activeCell="C39" sqref="C39"/>
    </sheetView>
  </sheetViews>
  <sheetFormatPr defaultRowHeight="12.75" x14ac:dyDescent="0.2"/>
  <cols>
    <col min="1" max="1" width="40.33203125" customWidth="1"/>
    <col min="2" max="2" width="24" customWidth="1"/>
    <col min="3" max="3" width="30.33203125" customWidth="1"/>
  </cols>
  <sheetData>
    <row r="1" spans="1:3" ht="18.75" x14ac:dyDescent="0.3">
      <c r="A1" s="314" t="s">
        <v>1417</v>
      </c>
    </row>
    <row r="2" spans="1:3" ht="18.75" x14ac:dyDescent="0.3">
      <c r="A2" s="314" t="s">
        <v>1496</v>
      </c>
      <c r="B2" s="314" t="s">
        <v>441</v>
      </c>
      <c r="C2" s="314" t="s">
        <v>1497</v>
      </c>
    </row>
    <row r="3" spans="1:3" x14ac:dyDescent="0.2">
      <c r="A3" s="410" t="s">
        <v>1414</v>
      </c>
      <c r="B3" s="410" t="s">
        <v>1415</v>
      </c>
      <c r="C3" s="410" t="s">
        <v>1422</v>
      </c>
    </row>
    <row r="4" spans="1:3" x14ac:dyDescent="0.2">
      <c r="A4" s="410" t="s">
        <v>1419</v>
      </c>
      <c r="B4" s="410" t="s">
        <v>1416</v>
      </c>
      <c r="C4" s="410" t="s">
        <v>1423</v>
      </c>
    </row>
    <row r="5" spans="1:3" x14ac:dyDescent="0.2">
      <c r="A5" s="410" t="s">
        <v>1420</v>
      </c>
      <c r="C5" s="410" t="s">
        <v>1424</v>
      </c>
    </row>
    <row r="6" spans="1:3" x14ac:dyDescent="0.2">
      <c r="A6" s="410" t="s">
        <v>1421</v>
      </c>
      <c r="C6" s="410" t="s">
        <v>1425</v>
      </c>
    </row>
    <row r="7" spans="1:3" x14ac:dyDescent="0.2">
      <c r="C7" s="410" t="s">
        <v>1426</v>
      </c>
    </row>
    <row r="8" spans="1:3" ht="18.75" x14ac:dyDescent="0.3">
      <c r="A8" s="314" t="s">
        <v>1498</v>
      </c>
      <c r="C8" s="410" t="s">
        <v>1427</v>
      </c>
    </row>
    <row r="9" spans="1:3" x14ac:dyDescent="0.2">
      <c r="A9" s="410" t="s">
        <v>1469</v>
      </c>
      <c r="C9" s="410" t="s">
        <v>1428</v>
      </c>
    </row>
    <row r="10" spans="1:3" x14ac:dyDescent="0.2">
      <c r="A10" s="410" t="s">
        <v>1470</v>
      </c>
      <c r="C10" s="410" t="s">
        <v>1429</v>
      </c>
    </row>
    <row r="11" spans="1:3" x14ac:dyDescent="0.2">
      <c r="A11" s="410" t="s">
        <v>1471</v>
      </c>
      <c r="C11" s="410" t="s">
        <v>1430</v>
      </c>
    </row>
    <row r="12" spans="1:3" x14ac:dyDescent="0.2">
      <c r="A12" s="410" t="s">
        <v>1472</v>
      </c>
      <c r="C12" s="410" t="s">
        <v>1431</v>
      </c>
    </row>
    <row r="13" spans="1:3" x14ac:dyDescent="0.2">
      <c r="A13" s="410" t="s">
        <v>1473</v>
      </c>
      <c r="C13" s="410" t="s">
        <v>1432</v>
      </c>
    </row>
    <row r="14" spans="1:3" x14ac:dyDescent="0.2">
      <c r="A14" s="410" t="s">
        <v>152</v>
      </c>
      <c r="C14" s="410" t="s">
        <v>1433</v>
      </c>
    </row>
    <row r="15" spans="1:3" x14ac:dyDescent="0.2">
      <c r="A15" s="410" t="s">
        <v>1474</v>
      </c>
      <c r="C15" s="410" t="s">
        <v>1434</v>
      </c>
    </row>
    <row r="16" spans="1:3" x14ac:dyDescent="0.2">
      <c r="A16" s="410" t="s">
        <v>1475</v>
      </c>
      <c r="C16" s="410" t="s">
        <v>1435</v>
      </c>
    </row>
    <row r="17" spans="1:3" x14ac:dyDescent="0.2">
      <c r="A17" s="410" t="s">
        <v>1476</v>
      </c>
      <c r="C17" s="410" t="s">
        <v>1461</v>
      </c>
    </row>
    <row r="18" spans="1:3" x14ac:dyDescent="0.2">
      <c r="C18" s="410" t="s">
        <v>1436</v>
      </c>
    </row>
    <row r="19" spans="1:3" ht="18.75" x14ac:dyDescent="0.3">
      <c r="A19" s="314" t="s">
        <v>1499</v>
      </c>
      <c r="C19" s="410" t="s">
        <v>1437</v>
      </c>
    </row>
    <row r="20" spans="1:3" x14ac:dyDescent="0.2">
      <c r="C20" s="410" t="s">
        <v>1438</v>
      </c>
    </row>
    <row r="21" spans="1:3" x14ac:dyDescent="0.2">
      <c r="A21" s="410" t="s">
        <v>1477</v>
      </c>
      <c r="C21" s="410" t="s">
        <v>1462</v>
      </c>
    </row>
    <row r="22" spans="1:3" x14ac:dyDescent="0.2">
      <c r="A22" s="410" t="s">
        <v>1478</v>
      </c>
      <c r="C22" s="410" t="s">
        <v>1439</v>
      </c>
    </row>
    <row r="23" spans="1:3" x14ac:dyDescent="0.2">
      <c r="A23" s="410" t="s">
        <v>1479</v>
      </c>
      <c r="C23" s="410" t="s">
        <v>1463</v>
      </c>
    </row>
    <row r="24" spans="1:3" x14ac:dyDescent="0.2">
      <c r="A24" s="410" t="s">
        <v>1480</v>
      </c>
      <c r="C24" s="410" t="s">
        <v>1464</v>
      </c>
    </row>
    <row r="25" spans="1:3" x14ac:dyDescent="0.2">
      <c r="A25" s="410" t="s">
        <v>1481</v>
      </c>
      <c r="C25" s="410" t="s">
        <v>1440</v>
      </c>
    </row>
    <row r="26" spans="1:3" x14ac:dyDescent="0.2">
      <c r="C26" s="410" t="s">
        <v>1441</v>
      </c>
    </row>
    <row r="27" spans="1:3" x14ac:dyDescent="0.2">
      <c r="C27" s="410" t="s">
        <v>1442</v>
      </c>
    </row>
    <row r="28" spans="1:3" x14ac:dyDescent="0.2">
      <c r="C28" s="410" t="s">
        <v>1443</v>
      </c>
    </row>
    <row r="29" spans="1:3" x14ac:dyDescent="0.2">
      <c r="C29" s="410" t="s">
        <v>1482</v>
      </c>
    </row>
    <row r="30" spans="1:3" x14ac:dyDescent="0.2">
      <c r="C30" s="410" t="s">
        <v>1444</v>
      </c>
    </row>
    <row r="31" spans="1:3" x14ac:dyDescent="0.2">
      <c r="C31" s="410" t="s">
        <v>1446</v>
      </c>
    </row>
    <row r="32" spans="1:3" x14ac:dyDescent="0.2">
      <c r="C32" s="410" t="s">
        <v>1445</v>
      </c>
    </row>
    <row r="33" spans="3:3" x14ac:dyDescent="0.2">
      <c r="C33" s="410" t="s">
        <v>1506</v>
      </c>
    </row>
    <row r="34" spans="3:3" x14ac:dyDescent="0.2">
      <c r="C34" s="410" t="s">
        <v>1465</v>
      </c>
    </row>
    <row r="35" spans="3:3" x14ac:dyDescent="0.2">
      <c r="C35" s="410" t="s">
        <v>1447</v>
      </c>
    </row>
    <row r="36" spans="3:3" x14ac:dyDescent="0.2">
      <c r="C36" s="410" t="s">
        <v>1448</v>
      </c>
    </row>
    <row r="37" spans="3:3" x14ac:dyDescent="0.2">
      <c r="C37" s="410" t="s">
        <v>1449</v>
      </c>
    </row>
    <row r="38" spans="3:3" x14ac:dyDescent="0.2">
      <c r="C38" s="410" t="s">
        <v>1450</v>
      </c>
    </row>
    <row r="39" spans="3:3" x14ac:dyDescent="0.2">
      <c r="C39" s="410" t="s">
        <v>1451</v>
      </c>
    </row>
    <row r="40" spans="3:3" x14ac:dyDescent="0.2">
      <c r="C40" s="410" t="s">
        <v>1466</v>
      </c>
    </row>
    <row r="41" spans="3:3" x14ac:dyDescent="0.2">
      <c r="C41" s="410" t="s">
        <v>1467</v>
      </c>
    </row>
    <row r="42" spans="3:3" x14ac:dyDescent="0.2">
      <c r="C42" s="410" t="s">
        <v>1452</v>
      </c>
    </row>
    <row r="43" spans="3:3" x14ac:dyDescent="0.2">
      <c r="C43" s="410" t="s">
        <v>1453</v>
      </c>
    </row>
    <row r="44" spans="3:3" x14ac:dyDescent="0.2">
      <c r="C44" s="410" t="s">
        <v>1454</v>
      </c>
    </row>
    <row r="45" spans="3:3" x14ac:dyDescent="0.2">
      <c r="C45" s="410" t="s">
        <v>1468</v>
      </c>
    </row>
    <row r="46" spans="3:3" x14ac:dyDescent="0.2">
      <c r="C46" s="410" t="s">
        <v>1455</v>
      </c>
    </row>
    <row r="47" spans="3:3" x14ac:dyDescent="0.2">
      <c r="C47" s="410" t="s">
        <v>1456</v>
      </c>
    </row>
    <row r="48" spans="3:3" x14ac:dyDescent="0.2">
      <c r="C48" s="410" t="s">
        <v>1457</v>
      </c>
    </row>
    <row r="49" spans="3:3" x14ac:dyDescent="0.2">
      <c r="C49" s="410" t="s">
        <v>1458</v>
      </c>
    </row>
    <row r="50" spans="3:3" x14ac:dyDescent="0.2">
      <c r="C50" s="410" t="s">
        <v>1459</v>
      </c>
    </row>
    <row r="51" spans="3:3" x14ac:dyDescent="0.2">
      <c r="C51" s="410" t="s">
        <v>1460</v>
      </c>
    </row>
  </sheetData>
  <hyperlinks>
    <hyperlink ref="A3" location="'To Do and Changes'!A1" display="To Do and Changes"/>
    <hyperlink ref="B3" location="'WPCF Revenue Detail'!A1" display="WPCF Revenue Detail"/>
    <hyperlink ref="B4" location="'Revenue Projections Detail'!A1" display="Revenue Projections"/>
    <hyperlink ref="A4" location="'Allocation Summary'!A1" display="GMRSD Allocation Summary"/>
    <hyperlink ref="A5" location="'Financial Policy Numbers'!A1" display="Financial Policy Numbers"/>
    <hyperlink ref="A6" location="'Working Budget with funding det'!A1" display="Working Budget with Funding Detail"/>
    <hyperlink ref="C3" location="'113 Town Mtg'!A1" display="113 Town Meeting"/>
    <hyperlink ref="C4" location="'122 Selectboard'!Print_Area" display="122 Selectboard"/>
    <hyperlink ref="C5" location="'131 Fin Comm'!Print_Area" display="131 Finance Committee"/>
    <hyperlink ref="C6" location="'132 Reserve Fund'!A1" display="132 Reserve Fund"/>
    <hyperlink ref="C7" location="'135 Acct'!A1" display="135 Town Accountant"/>
    <hyperlink ref="C8" location="'141 BOA'!A1" display="141 Board of Assessors"/>
    <hyperlink ref="C9" location="'145 Treas'!A1" display="145 Treasurer/Tax Collector"/>
    <hyperlink ref="C10" location="'151 Counsel'!A1" display="151 Legal"/>
    <hyperlink ref="C11" location="'155 IT'!A1" display="155 Information Technology"/>
    <hyperlink ref="C12" location="'159 Shared Costs'!A1" display="159 Shared Costs"/>
    <hyperlink ref="C13" location="'161 Clerk'!A1" display="161 Town Clerk"/>
    <hyperlink ref="C14" location="'175 Planning'!A1" display="175 Planning"/>
    <hyperlink ref="C15" location="'176 ZBA'!A1" display="176 Zoning Board of Appeals"/>
    <hyperlink ref="C16" location="'182 MEDIC'!A1" display="182 MEDIC"/>
    <hyperlink ref="C17" location="'190 Publ Bldg Utilities'!A1" display="190 Public Buildings Utilities"/>
    <hyperlink ref="C18" location="'211 Police'!A1" display="211 Police"/>
    <hyperlink ref="C19" location="'212 Dispatch'!A1" display="212 Dispatch"/>
    <hyperlink ref="C20" location="'241 Bldg'!A1" display="241 Building Inspector"/>
    <hyperlink ref="C21" location="'244 Sealer'!A1" display="244 Sealer of Weights"/>
    <hyperlink ref="C22" location="'291 Emergency'!A1" display="291 Emergency Management"/>
    <hyperlink ref="C23" location="'292 Animal'!A1" display="292 Animal Control"/>
    <hyperlink ref="C24" location="'294 Forest Warden'!A1" display="294 Forest Warden"/>
    <hyperlink ref="C25" location="'299 Tree Warden'!A1" display="299 Tree Warden"/>
    <hyperlink ref="C26" location="'300 Schools'!A1" display="300 Education"/>
    <hyperlink ref="C27" location="'420 DPW'!A1" display="420 DPW-Consolidated"/>
    <hyperlink ref="C28" location="'192 Public Bldgs'!A1" display="192 DPW-Public Buildings"/>
    <hyperlink ref="C29" location="'422 Maintenance'!A1" display="422 DPW-Streets/Maintenance"/>
    <hyperlink ref="C30" location="'652 Parks'!A1" display="652 DPW-Parks"/>
    <hyperlink ref="C31" location="'423 Snow'!A1" display="423 Snow &amp; Ice"/>
    <hyperlink ref="C32" location="'433 Solid Waste'!A1" display="433 Solid Waste"/>
    <hyperlink ref="C34" location="'491 Cemetery'!A1" display="491 Cemeteries"/>
    <hyperlink ref="C35" location="'511 BOH'!A1" display="511 Board of Health"/>
    <hyperlink ref="C36" location="'541 COA'!A1" display="541 Council on Aging"/>
    <hyperlink ref="C37" location="'543 Vets'!A1" display="543 Veterans Benefits"/>
    <hyperlink ref="C38" location="'610 Library'!A1" display="610 Libraries"/>
    <hyperlink ref="C39" location="'630 Recreation'!A1" display="630 Parks &amp; Recreation"/>
    <hyperlink ref="C40" location="'691 Historical Comm'!A1" display="691 Historical Commission"/>
    <hyperlink ref="C41" location="'693 Memorials'!A1" display="693 Soldiers Memorials"/>
    <hyperlink ref="C42" location="'700 Debt '!A1" display="700 Town Debt"/>
    <hyperlink ref="C43" location="'840 Intergovt'!A1" display="840 Intergovernmental"/>
    <hyperlink ref="C44" location="'910 Benefits'!A1" display="910 Town Benefits"/>
    <hyperlink ref="C45" location="'946 Insurance'!A1" display="946 General Insurance"/>
    <hyperlink ref="C46" location="'Colle 228 183'!A1" display="228 Colle"/>
    <hyperlink ref="C47" location="'600 482 Airport'!A1" display="600-482 Airport"/>
    <hyperlink ref="C48" location="'661 440 WPCF'!A1" display="661-440 WPCF Main Budget"/>
    <hyperlink ref="C49" location="'661 449 Hwy'!A1" display="661-449 WPCF DPW Subsidiary"/>
    <hyperlink ref="C50" location="'661 700 Debt'!A1" display="661-700 WPCF Debt"/>
    <hyperlink ref="C51" location="'661 910 Benefits'!A1" display="661-910 WPCF Benefits"/>
    <hyperlink ref="A9" location="'WPCF Overhead'!A1" display="WPCF Overhead"/>
    <hyperlink ref="A10" location="'Debt Exclusion Calc.'!A1" display="Debt Exclusion Caluclation"/>
    <hyperlink ref="A11" location="'Police Wages'!A1" display="Police Wages"/>
    <hyperlink ref="A12" location="'UE Wages'!A1" display="DPW/Sewer Wages"/>
    <hyperlink ref="A13" location="'NAGE &amp; Non-Union Wages'!A1" display="NAGE &amp; Non-Union Wages"/>
    <hyperlink ref="A14" location="Longevity!A1" display="Longevity"/>
    <hyperlink ref="A15" location="'Split Debt Service'!A1" display="Split Dept Service"/>
    <hyperlink ref="A16" location="'Combined Debt Schedule'!A1" display="Combined Debt Schedule"/>
    <hyperlink ref="A17" location="'Kearsarge Lease'!A1" display="Kearsarge Lease"/>
    <hyperlink ref="A21" location="'Town Meeting Wages By Position'!A1" display="Wages by Position"/>
    <hyperlink ref="A22" location="'Report to Town Meeting '!A1" display="Report to Town Meeting"/>
    <hyperlink ref="A23" location="'Wage and Benefits'!A1" display="Wages and Benefits"/>
    <hyperlink ref="A24" location="'Charts for Report'!A1" display="Charts for Report"/>
    <hyperlink ref="A25" location="'Revenue Allocation Chart'!A1" display="Revenue Allocation Chart"/>
    <hyperlink ref="C33" location="'480 Charging Stations'!A1" display="480 Charging Station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1"/>
  <sheetViews>
    <sheetView zoomScale="85" zoomScaleNormal="85" workbookViewId="0">
      <pane ySplit="7" topLeftCell="A8" activePane="bottomLeft" state="frozen"/>
      <selection activeCell="K15" sqref="K15"/>
      <selection pane="bottomLeft" activeCell="A57" sqref="A57:XFD67"/>
    </sheetView>
  </sheetViews>
  <sheetFormatPr defaultRowHeight="12.75" x14ac:dyDescent="0.2"/>
  <cols>
    <col min="1" max="1" width="11.33203125" customWidth="1"/>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5" width="14.5" customWidth="1"/>
  </cols>
  <sheetData>
    <row r="1" spans="1:16" x14ac:dyDescent="0.2">
      <c r="A1" s="410" t="s">
        <v>1013</v>
      </c>
      <c r="B1" s="410" t="s">
        <v>1418</v>
      </c>
      <c r="M1"/>
    </row>
    <row r="2" spans="1:16" ht="15" x14ac:dyDescent="0.25">
      <c r="A2" s="49" t="s">
        <v>254</v>
      </c>
      <c r="B2" s="49"/>
      <c r="E2" s="153"/>
      <c r="H2" s="153" t="s">
        <v>252</v>
      </c>
      <c r="I2" s="153"/>
      <c r="J2" s="153"/>
      <c r="K2" s="67" t="s">
        <v>352</v>
      </c>
      <c r="L2" s="121"/>
      <c r="M2" s="50" t="s">
        <v>472</v>
      </c>
      <c r="P2" s="87"/>
    </row>
    <row r="3" spans="1:16" ht="13.5" thickBot="1" x14ac:dyDescent="0.25">
      <c r="A3" s="4"/>
      <c r="B3" s="4"/>
      <c r="C3" s="25"/>
      <c r="D3" s="25"/>
      <c r="E3" s="25"/>
      <c r="F3" s="25"/>
      <c r="G3" s="25"/>
      <c r="H3" s="25"/>
      <c r="I3" s="25"/>
      <c r="J3" s="25"/>
      <c r="K3" s="4"/>
      <c r="L3" s="25"/>
      <c r="M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7"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779" t="s">
        <v>899</v>
      </c>
      <c r="K7" s="145">
        <v>43830</v>
      </c>
      <c r="L7" s="9" t="s">
        <v>9</v>
      </c>
      <c r="M7" s="9" t="s">
        <v>541</v>
      </c>
    </row>
    <row r="8" spans="1:16" ht="13.5" thickTop="1" x14ac:dyDescent="0.2">
      <c r="A8" s="30"/>
      <c r="B8" s="218"/>
      <c r="C8" s="142"/>
      <c r="D8" s="19"/>
      <c r="E8" s="19"/>
      <c r="F8" s="19"/>
      <c r="G8" s="19"/>
      <c r="H8" s="19"/>
      <c r="I8" s="20"/>
      <c r="J8" s="20"/>
      <c r="K8" s="19"/>
      <c r="L8" s="20"/>
      <c r="M8" s="20"/>
    </row>
    <row r="9" spans="1:16" s="101" customFormat="1" ht="13.5" thickBot="1" x14ac:dyDescent="0.25">
      <c r="A9" s="12">
        <v>5111</v>
      </c>
      <c r="B9" s="105" t="s">
        <v>684</v>
      </c>
      <c r="C9" s="141">
        <v>62644.4</v>
      </c>
      <c r="D9" s="16">
        <f>129+62937</f>
        <v>63066</v>
      </c>
      <c r="E9" s="16">
        <v>64970</v>
      </c>
      <c r="F9" s="16">
        <v>66933</v>
      </c>
      <c r="G9" s="16">
        <v>68954</v>
      </c>
      <c r="H9" s="16">
        <v>69988</v>
      </c>
      <c r="I9" s="16">
        <v>71388</v>
      </c>
      <c r="J9" s="17">
        <f>2517+71388</f>
        <v>73905</v>
      </c>
      <c r="K9" s="16">
        <v>35199.5</v>
      </c>
      <c r="L9" s="17">
        <f>ROUND(+K31,0)</f>
        <v>75014</v>
      </c>
      <c r="M9" s="17"/>
    </row>
    <row r="10" spans="1:16" s="101" customFormat="1" ht="13.5" hidden="1" thickBot="1" x14ac:dyDescent="0.25">
      <c r="A10" s="12">
        <v>5114</v>
      </c>
      <c r="B10" s="117" t="s">
        <v>685</v>
      </c>
      <c r="C10" s="820">
        <v>739.48</v>
      </c>
      <c r="D10" s="41">
        <v>1464.56</v>
      </c>
      <c r="E10" s="41">
        <v>1903.42</v>
      </c>
      <c r="F10" s="41">
        <v>1211.77</v>
      </c>
      <c r="G10" s="41"/>
      <c r="H10" s="41"/>
      <c r="I10" s="41">
        <v>0</v>
      </c>
      <c r="J10" s="42"/>
      <c r="K10" s="41"/>
      <c r="L10" s="42"/>
      <c r="M10" s="42"/>
    </row>
    <row r="11" spans="1:16" x14ac:dyDescent="0.2">
      <c r="A11" s="12"/>
      <c r="B11" s="70" t="s">
        <v>125</v>
      </c>
      <c r="C11" s="142">
        <f t="shared" ref="C11:I11" si="0">SUM(C9:C10)</f>
        <v>63383.880000000005</v>
      </c>
      <c r="D11" s="19">
        <f t="shared" si="0"/>
        <v>64530.559999999998</v>
      </c>
      <c r="E11" s="19">
        <f t="shared" si="0"/>
        <v>66873.42</v>
      </c>
      <c r="F11" s="19">
        <f t="shared" si="0"/>
        <v>68144.77</v>
      </c>
      <c r="G11" s="19">
        <f t="shared" si="0"/>
        <v>68954</v>
      </c>
      <c r="H11" s="19">
        <f t="shared" si="0"/>
        <v>69988</v>
      </c>
      <c r="I11" s="19">
        <f t="shared" si="0"/>
        <v>71388</v>
      </c>
      <c r="J11" s="20">
        <f>SUM(J9:J10)</f>
        <v>73905</v>
      </c>
      <c r="K11" s="19">
        <f>SUM(K8:K10)</f>
        <v>35199.5</v>
      </c>
      <c r="L11" s="20">
        <f>SUM(L9:L10)</f>
        <v>75014</v>
      </c>
      <c r="M11" s="20">
        <f>SUM(M9:M10)</f>
        <v>0</v>
      </c>
    </row>
    <row r="12" spans="1:16" x14ac:dyDescent="0.2">
      <c r="A12" s="12"/>
      <c r="B12" s="69"/>
      <c r="C12" s="140"/>
      <c r="D12" s="14"/>
      <c r="E12" s="14"/>
      <c r="F12" s="14"/>
      <c r="G12" s="14"/>
      <c r="H12" s="14"/>
      <c r="I12" s="14"/>
      <c r="J12" s="15"/>
      <c r="K12" s="14"/>
      <c r="L12" s="15"/>
      <c r="M12" s="15"/>
    </row>
    <row r="13" spans="1:16" x14ac:dyDescent="0.2">
      <c r="A13" s="12">
        <v>5247</v>
      </c>
      <c r="B13" s="69" t="s">
        <v>370</v>
      </c>
      <c r="C13" s="140">
        <v>3734</v>
      </c>
      <c r="D13" s="14">
        <v>3809</v>
      </c>
      <c r="E13" s="14">
        <v>3885</v>
      </c>
      <c r="F13" s="14">
        <v>3963</v>
      </c>
      <c r="G13" s="14">
        <v>4082</v>
      </c>
      <c r="H13" s="14">
        <v>4204</v>
      </c>
      <c r="I13" s="156">
        <v>4289</v>
      </c>
      <c r="J13" s="132">
        <v>4400</v>
      </c>
      <c r="K13" s="14">
        <v>4375</v>
      </c>
      <c r="L13" s="132">
        <v>4485</v>
      </c>
      <c r="M13" s="15"/>
    </row>
    <row r="14" spans="1:16" hidden="1" x14ac:dyDescent="0.2">
      <c r="A14" s="12">
        <v>5248</v>
      </c>
      <c r="B14" s="69" t="s">
        <v>133</v>
      </c>
      <c r="C14" s="140"/>
      <c r="D14" s="14">
        <v>0</v>
      </c>
      <c r="E14" s="14"/>
      <c r="F14" s="14"/>
      <c r="G14" s="14"/>
      <c r="H14" s="14"/>
      <c r="I14" s="14">
        <v>0</v>
      </c>
      <c r="J14" s="15">
        <v>0</v>
      </c>
      <c r="K14" s="14"/>
      <c r="L14" s="15">
        <v>0</v>
      </c>
      <c r="M14" s="15"/>
    </row>
    <row r="15" spans="1:16" x14ac:dyDescent="0.2">
      <c r="A15" s="12">
        <v>5305</v>
      </c>
      <c r="B15" s="69" t="s">
        <v>143</v>
      </c>
      <c r="C15" s="140">
        <v>225</v>
      </c>
      <c r="D15" s="14">
        <v>134.18</v>
      </c>
      <c r="E15" s="14">
        <v>264.49</v>
      </c>
      <c r="F15" s="14">
        <v>137.47999999999999</v>
      </c>
      <c r="G15" s="14">
        <v>151.94999999999999</v>
      </c>
      <c r="H15" s="14">
        <v>138.47</v>
      </c>
      <c r="I15" s="14">
        <v>139.37</v>
      </c>
      <c r="J15" s="15">
        <v>150</v>
      </c>
      <c r="K15" s="14">
        <v>150.78</v>
      </c>
      <c r="L15" s="15">
        <v>160</v>
      </c>
      <c r="M15" s="15"/>
    </row>
    <row r="16" spans="1:16" x14ac:dyDescent="0.2">
      <c r="A16" s="12">
        <v>5314</v>
      </c>
      <c r="B16" s="69" t="s">
        <v>134</v>
      </c>
      <c r="C16" s="140">
        <v>290</v>
      </c>
      <c r="D16" s="14">
        <v>20</v>
      </c>
      <c r="E16" s="14">
        <v>340</v>
      </c>
      <c r="F16" s="14">
        <v>290</v>
      </c>
      <c r="G16" s="14">
        <v>290</v>
      </c>
      <c r="H16" s="14">
        <v>340</v>
      </c>
      <c r="I16" s="14">
        <v>0</v>
      </c>
      <c r="J16" s="15">
        <v>350</v>
      </c>
      <c r="K16" s="14"/>
      <c r="L16" s="15">
        <v>350</v>
      </c>
      <c r="M16" s="15"/>
    </row>
    <row r="17" spans="1:15" hidden="1" x14ac:dyDescent="0.2">
      <c r="A17" s="12">
        <v>5341</v>
      </c>
      <c r="B17" s="69" t="s">
        <v>136</v>
      </c>
      <c r="C17" s="140">
        <v>209.06</v>
      </c>
      <c r="D17" s="14">
        <v>204.61</v>
      </c>
      <c r="E17" s="14">
        <v>206.02</v>
      </c>
      <c r="F17" s="14">
        <v>212.43</v>
      </c>
      <c r="G17" s="14">
        <v>217.4</v>
      </c>
      <c r="H17" s="14"/>
      <c r="I17" s="14"/>
      <c r="J17" s="15"/>
      <c r="K17" s="14"/>
      <c r="L17" s="15"/>
      <c r="M17" s="15"/>
    </row>
    <row r="18" spans="1:15" x14ac:dyDescent="0.2">
      <c r="A18" s="12">
        <v>5344</v>
      </c>
      <c r="B18" s="69" t="s">
        <v>137</v>
      </c>
      <c r="C18" s="140">
        <v>53.02</v>
      </c>
      <c r="D18" s="14">
        <v>18.420000000000002</v>
      </c>
      <c r="E18" s="14">
        <v>29.4</v>
      </c>
      <c r="F18" s="14">
        <v>11.86</v>
      </c>
      <c r="G18" s="14">
        <v>9.33</v>
      </c>
      <c r="H18" s="14">
        <v>9.41</v>
      </c>
      <c r="I18" s="14">
        <v>78.010000000000005</v>
      </c>
      <c r="J18" s="15">
        <v>25</v>
      </c>
      <c r="K18" s="14">
        <v>13.1</v>
      </c>
      <c r="L18" s="15">
        <v>25</v>
      </c>
      <c r="M18" s="15"/>
    </row>
    <row r="19" spans="1:15" hidden="1" x14ac:dyDescent="0.2">
      <c r="A19" s="12">
        <v>5380</v>
      </c>
      <c r="B19" s="13" t="s">
        <v>948</v>
      </c>
      <c r="C19" s="19"/>
      <c r="D19" s="19"/>
      <c r="E19" s="19"/>
      <c r="F19" s="19">
        <v>975</v>
      </c>
      <c r="G19" s="19"/>
      <c r="H19" s="19"/>
      <c r="I19" s="19"/>
      <c r="J19" s="20"/>
      <c r="K19" s="19"/>
      <c r="L19" s="20"/>
      <c r="M19" s="20"/>
    </row>
    <row r="20" spans="1:15" x14ac:dyDescent="0.2">
      <c r="A20" s="12">
        <v>5420</v>
      </c>
      <c r="B20" s="13" t="s">
        <v>139</v>
      </c>
      <c r="C20" s="19">
        <v>1648.08</v>
      </c>
      <c r="D20" s="19">
        <v>811.68</v>
      </c>
      <c r="E20" s="19">
        <v>2170.5300000000002</v>
      </c>
      <c r="F20" s="19">
        <v>1027.83</v>
      </c>
      <c r="G20" s="19">
        <v>1293.81</v>
      </c>
      <c r="H20" s="19">
        <v>1063.06</v>
      </c>
      <c r="I20" s="136">
        <v>1577.23</v>
      </c>
      <c r="J20" s="134">
        <v>1900</v>
      </c>
      <c r="K20" s="19">
        <v>313.55</v>
      </c>
      <c r="L20" s="134">
        <v>1700</v>
      </c>
      <c r="M20" s="134"/>
    </row>
    <row r="21" spans="1:15" x14ac:dyDescent="0.2">
      <c r="A21" s="12">
        <v>5590</v>
      </c>
      <c r="B21" s="13" t="s">
        <v>991</v>
      </c>
      <c r="C21" s="19"/>
      <c r="D21" s="19"/>
      <c r="E21" s="19"/>
      <c r="F21" s="19">
        <v>1435.58</v>
      </c>
      <c r="G21" s="19"/>
      <c r="H21" s="19"/>
      <c r="I21" s="136"/>
      <c r="J21" s="134">
        <v>750</v>
      </c>
      <c r="K21" s="19"/>
      <c r="L21" s="134"/>
      <c r="M21" s="134"/>
    </row>
    <row r="22" spans="1:15" x14ac:dyDescent="0.2">
      <c r="A22" s="12">
        <v>5710</v>
      </c>
      <c r="B22" s="13" t="s">
        <v>529</v>
      </c>
      <c r="C22" s="19">
        <v>85.52</v>
      </c>
      <c r="D22" s="19">
        <v>21.21</v>
      </c>
      <c r="E22" s="19">
        <v>117.08</v>
      </c>
      <c r="F22" s="19">
        <v>189.15</v>
      </c>
      <c r="G22" s="19">
        <v>49.86</v>
      </c>
      <c r="H22" s="19">
        <v>107.21</v>
      </c>
      <c r="I22" s="19">
        <v>0</v>
      </c>
      <c r="J22" s="20">
        <v>150</v>
      </c>
      <c r="K22" s="19"/>
      <c r="L22" s="20">
        <v>150</v>
      </c>
      <c r="M22" s="20"/>
    </row>
    <row r="23" spans="1:15" ht="13.5" thickBot="1" x14ac:dyDescent="0.25">
      <c r="A23" s="12">
        <v>5730</v>
      </c>
      <c r="B23" s="13" t="s">
        <v>142</v>
      </c>
      <c r="C23" s="16">
        <v>50</v>
      </c>
      <c r="D23" s="16">
        <v>50</v>
      </c>
      <c r="E23" s="16">
        <v>50</v>
      </c>
      <c r="F23" s="16">
        <v>50</v>
      </c>
      <c r="G23" s="16">
        <v>50</v>
      </c>
      <c r="H23" s="16">
        <v>50</v>
      </c>
      <c r="I23" s="16">
        <v>50</v>
      </c>
      <c r="J23" s="17">
        <v>50</v>
      </c>
      <c r="K23" s="16">
        <v>50</v>
      </c>
      <c r="L23" s="17">
        <v>50</v>
      </c>
      <c r="M23" s="17"/>
    </row>
    <row r="24" spans="1:15" x14ac:dyDescent="0.2">
      <c r="A24" s="12"/>
      <c r="B24" s="18" t="s">
        <v>442</v>
      </c>
      <c r="C24" s="39">
        <f t="shared" ref="C24:K24" si="1">SUM(C13:C23)</f>
        <v>6294.6800000000012</v>
      </c>
      <c r="D24" s="39">
        <f t="shared" si="1"/>
        <v>5069.1000000000004</v>
      </c>
      <c r="E24" s="39">
        <f t="shared" si="1"/>
        <v>7062.52</v>
      </c>
      <c r="F24" s="39">
        <f>SUM(F13:F23)</f>
        <v>8292.33</v>
      </c>
      <c r="G24" s="39">
        <f>SUM(G13:G23)</f>
        <v>6144.3499999999995</v>
      </c>
      <c r="H24" s="39">
        <f>SUM(H13:H23)</f>
        <v>5912.1500000000005</v>
      </c>
      <c r="I24" s="39">
        <f t="shared" si="1"/>
        <v>6133.6100000000006</v>
      </c>
      <c r="J24" s="40">
        <f>SUM(J13:J23)</f>
        <v>7775</v>
      </c>
      <c r="K24" s="39">
        <f t="shared" si="1"/>
        <v>4902.43</v>
      </c>
      <c r="L24" s="40">
        <f>SUM(L13:L23)</f>
        <v>6920</v>
      </c>
      <c r="M24" s="40">
        <f>SUM(M13:M23)</f>
        <v>0</v>
      </c>
    </row>
    <row r="25" spans="1:15" x14ac:dyDescent="0.2">
      <c r="A25" s="12"/>
      <c r="B25" s="13"/>
      <c r="C25" s="14"/>
      <c r="D25" s="14"/>
      <c r="E25" s="14"/>
      <c r="F25" s="14"/>
      <c r="G25" s="14"/>
      <c r="H25" s="14"/>
      <c r="I25" s="14"/>
      <c r="J25" s="15"/>
      <c r="K25" s="14"/>
      <c r="L25" s="15"/>
      <c r="M25" s="15"/>
    </row>
    <row r="26" spans="1:15" ht="13.5" thickBot="1" x14ac:dyDescent="0.25">
      <c r="A26" s="21"/>
      <c r="B26" s="22" t="s">
        <v>446</v>
      </c>
      <c r="C26" s="23">
        <f t="shared" ref="C26:K26" si="2">+C24+C11</f>
        <v>69678.560000000012</v>
      </c>
      <c r="D26" s="23">
        <f t="shared" si="2"/>
        <v>69599.66</v>
      </c>
      <c r="E26" s="23">
        <f>+E24+E11</f>
        <v>73935.94</v>
      </c>
      <c r="F26" s="23">
        <f>+F24+F11</f>
        <v>76437.100000000006</v>
      </c>
      <c r="G26" s="23">
        <f>+G24+G11</f>
        <v>75098.350000000006</v>
      </c>
      <c r="H26" s="23">
        <f>+H24+H11</f>
        <v>75900.149999999994</v>
      </c>
      <c r="I26" s="23">
        <f t="shared" si="2"/>
        <v>77521.61</v>
      </c>
      <c r="J26" s="43">
        <f>+J24+J11</f>
        <v>81680</v>
      </c>
      <c r="K26" s="23">
        <f t="shared" si="2"/>
        <v>40101.93</v>
      </c>
      <c r="L26" s="43">
        <f>+L24+L11</f>
        <v>81934</v>
      </c>
      <c r="M26" s="43">
        <f>+L26</f>
        <v>81934</v>
      </c>
    </row>
    <row r="27" spans="1:15" ht="13.5" thickTop="1" x14ac:dyDescent="0.2">
      <c r="A27" s="4"/>
      <c r="B27" s="4"/>
      <c r="C27" s="26"/>
      <c r="D27" s="26"/>
      <c r="E27" s="26"/>
      <c r="F27" s="26"/>
      <c r="G27" s="26"/>
      <c r="H27" s="26"/>
      <c r="I27" s="26"/>
      <c r="J27" s="26"/>
      <c r="K27" s="27"/>
      <c r="L27" s="26"/>
      <c r="M27" s="25"/>
      <c r="N27" s="27"/>
      <c r="O27" s="27"/>
    </row>
    <row r="28" spans="1:15" ht="13.5" thickBot="1" x14ac:dyDescent="0.25">
      <c r="A28" s="4" t="s">
        <v>521</v>
      </c>
      <c r="B28" s="4"/>
      <c r="M28" s="29"/>
    </row>
    <row r="29" spans="1:15" ht="13.5" thickTop="1" x14ac:dyDescent="0.2">
      <c r="A29" s="113" t="s">
        <v>577</v>
      </c>
      <c r="B29" s="114"/>
      <c r="D29" s="386"/>
      <c r="H29" s="346" t="s">
        <v>84</v>
      </c>
      <c r="I29" s="169"/>
      <c r="J29" s="182"/>
      <c r="K29" s="182" t="s">
        <v>578</v>
      </c>
      <c r="M29" s="270"/>
    </row>
    <row r="30" spans="1:15" ht="13.5" thickBot="1" x14ac:dyDescent="0.25">
      <c r="A30" s="115" t="s">
        <v>580</v>
      </c>
      <c r="B30" s="116" t="s">
        <v>522</v>
      </c>
      <c r="D30" s="388"/>
      <c r="H30" s="347"/>
      <c r="I30" s="172"/>
      <c r="J30" s="173"/>
      <c r="K30" s="173" t="s">
        <v>101</v>
      </c>
      <c r="M30" s="270"/>
    </row>
    <row r="31" spans="1:15" ht="13.5" thickTop="1" x14ac:dyDescent="0.2">
      <c r="A31" s="164">
        <v>36416</v>
      </c>
      <c r="B31" s="117" t="s">
        <v>376</v>
      </c>
      <c r="D31" s="19"/>
      <c r="H31" s="19" t="s">
        <v>1331</v>
      </c>
      <c r="I31" s="19"/>
      <c r="J31" s="19"/>
      <c r="K31" s="239">
        <f>+'NAGE &amp; Non-Union Wages'!L10</f>
        <v>75014</v>
      </c>
      <c r="M31" s="27"/>
    </row>
    <row r="32" spans="1:15" ht="13.5" thickBot="1" x14ac:dyDescent="0.25">
      <c r="A32" s="203"/>
      <c r="B32" s="28"/>
      <c r="C32" s="26"/>
      <c r="D32" s="26"/>
      <c r="E32" s="26"/>
      <c r="H32" s="26"/>
      <c r="I32" s="26"/>
      <c r="J32" s="26"/>
      <c r="K32" s="26"/>
      <c r="L32" s="230"/>
      <c r="M32" s="27"/>
    </row>
    <row r="33" spans="1:13" ht="13.5" thickTop="1" x14ac:dyDescent="0.2">
      <c r="A33" s="5"/>
      <c r="B33" s="6"/>
      <c r="C33" s="138" t="s">
        <v>122</v>
      </c>
      <c r="D33" s="279" t="s">
        <v>122</v>
      </c>
      <c r="E33" s="279" t="s">
        <v>122</v>
      </c>
      <c r="H33" s="521" t="s">
        <v>542</v>
      </c>
      <c r="I33" s="522" t="s">
        <v>9</v>
      </c>
      <c r="J33" s="317" t="s">
        <v>1073</v>
      </c>
      <c r="K33" s="119" t="s">
        <v>682</v>
      </c>
      <c r="L33" s="91"/>
      <c r="M33" s="317"/>
    </row>
    <row r="34" spans="1:13" ht="13.5" thickBot="1" x14ac:dyDescent="0.25">
      <c r="A34" s="525" t="s">
        <v>123</v>
      </c>
      <c r="B34" s="526"/>
      <c r="C34" s="527" t="s">
        <v>334</v>
      </c>
      <c r="D34" s="527" t="s">
        <v>718</v>
      </c>
      <c r="E34" s="528" t="s">
        <v>734</v>
      </c>
      <c r="H34" s="529" t="s">
        <v>899</v>
      </c>
      <c r="I34" s="529" t="s">
        <v>900</v>
      </c>
      <c r="J34" s="528" t="s">
        <v>1075</v>
      </c>
      <c r="K34" s="530" t="s">
        <v>1075</v>
      </c>
      <c r="L34" s="531" t="s">
        <v>1074</v>
      </c>
      <c r="M34" s="529"/>
    </row>
    <row r="35" spans="1:13" ht="13.5" thickTop="1" x14ac:dyDescent="0.2">
      <c r="A35" s="548"/>
      <c r="B35" s="549"/>
      <c r="C35" s="536"/>
      <c r="D35" s="536"/>
      <c r="E35" s="536"/>
      <c r="H35" s="537"/>
      <c r="I35" s="536"/>
      <c r="J35" s="537"/>
      <c r="K35" s="536"/>
      <c r="L35" s="538"/>
      <c r="M35" s="539"/>
    </row>
    <row r="36" spans="1:13" x14ac:dyDescent="0.2">
      <c r="A36" s="551">
        <v>5111</v>
      </c>
      <c r="B36" s="540" t="s">
        <v>684</v>
      </c>
      <c r="C36" s="546">
        <v>62644.4</v>
      </c>
      <c r="D36" s="546">
        <f>129+62937</f>
        <v>63066</v>
      </c>
      <c r="E36" s="546">
        <v>64970</v>
      </c>
      <c r="H36" s="547">
        <f>+J9</f>
        <v>73905</v>
      </c>
      <c r="I36" s="731">
        <f>+L9</f>
        <v>75014</v>
      </c>
      <c r="J36" s="539">
        <f t="shared" ref="J36:J48" si="3">+I36-H36</f>
        <v>1109</v>
      </c>
      <c r="K36" s="545">
        <f t="shared" ref="K36:K48" si="4">IF(H36+I36&lt;&gt;0,IF(H36&lt;&gt;0,IF(J36&lt;&gt;0,ROUND((+J36/H36),4),""),1),"")</f>
        <v>1.4999999999999999E-2</v>
      </c>
      <c r="L36" s="538" t="s">
        <v>1676</v>
      </c>
      <c r="M36" s="539"/>
    </row>
    <row r="37" spans="1:13" ht="13.5" thickBot="1" x14ac:dyDescent="0.25">
      <c r="A37" s="551">
        <v>5114</v>
      </c>
      <c r="B37" s="540" t="s">
        <v>685</v>
      </c>
      <c r="C37" s="542">
        <v>739.48</v>
      </c>
      <c r="D37" s="542">
        <v>1464.56</v>
      </c>
      <c r="E37" s="542">
        <v>1903.42</v>
      </c>
      <c r="H37" s="543"/>
      <c r="I37" s="731">
        <f>+L10</f>
        <v>0</v>
      </c>
      <c r="J37" s="539">
        <f t="shared" si="3"/>
        <v>0</v>
      </c>
      <c r="K37" s="545" t="str">
        <f t="shared" si="4"/>
        <v/>
      </c>
      <c r="L37" s="538"/>
      <c r="M37" s="539"/>
    </row>
    <row r="38" spans="1:13" x14ac:dyDescent="0.2">
      <c r="A38" s="551">
        <v>5247</v>
      </c>
      <c r="B38" s="540" t="s">
        <v>370</v>
      </c>
      <c r="C38" s="544">
        <v>3734</v>
      </c>
      <c r="D38" s="544">
        <v>3809</v>
      </c>
      <c r="E38" s="544">
        <v>3885</v>
      </c>
      <c r="H38" s="537">
        <f>+J13</f>
        <v>4400</v>
      </c>
      <c r="I38" s="731">
        <f t="shared" ref="I38:I48" si="5">+L13</f>
        <v>4485</v>
      </c>
      <c r="J38" s="539">
        <f t="shared" si="3"/>
        <v>85</v>
      </c>
      <c r="K38" s="545">
        <f t="shared" si="4"/>
        <v>1.9300000000000001E-2</v>
      </c>
      <c r="L38" s="538" t="s">
        <v>1677</v>
      </c>
      <c r="M38" s="539"/>
    </row>
    <row r="39" spans="1:13" x14ac:dyDescent="0.2">
      <c r="A39" s="551">
        <v>5248</v>
      </c>
      <c r="B39" s="540" t="s">
        <v>133</v>
      </c>
      <c r="C39" s="544"/>
      <c r="D39" s="544">
        <v>0</v>
      </c>
      <c r="E39" s="544"/>
      <c r="H39" s="537">
        <f t="shared" ref="H39:H48" si="6">+J14</f>
        <v>0</v>
      </c>
      <c r="I39" s="731">
        <f t="shared" si="5"/>
        <v>0</v>
      </c>
      <c r="J39" s="539">
        <f t="shared" si="3"/>
        <v>0</v>
      </c>
      <c r="K39" s="545" t="str">
        <f t="shared" si="4"/>
        <v/>
      </c>
      <c r="L39" s="538"/>
      <c r="M39" s="539"/>
    </row>
    <row r="40" spans="1:13" x14ac:dyDescent="0.2">
      <c r="A40" s="551">
        <v>5305</v>
      </c>
      <c r="B40" s="540" t="s">
        <v>143</v>
      </c>
      <c r="C40" s="544">
        <v>225</v>
      </c>
      <c r="D40" s="544">
        <v>134.18</v>
      </c>
      <c r="E40" s="544">
        <v>264.49</v>
      </c>
      <c r="H40" s="537">
        <f t="shared" si="6"/>
        <v>150</v>
      </c>
      <c r="I40" s="731">
        <f t="shared" si="5"/>
        <v>160</v>
      </c>
      <c r="J40" s="539">
        <f t="shared" si="3"/>
        <v>10</v>
      </c>
      <c r="K40" s="545">
        <f t="shared" si="4"/>
        <v>6.6699999999999995E-2</v>
      </c>
      <c r="L40" s="538" t="s">
        <v>1678</v>
      </c>
      <c r="M40" s="539"/>
    </row>
    <row r="41" spans="1:13" ht="14.25" customHeight="1" x14ac:dyDescent="0.2">
      <c r="A41" s="551">
        <v>5314</v>
      </c>
      <c r="B41" s="540" t="s">
        <v>134</v>
      </c>
      <c r="C41" s="544">
        <v>290</v>
      </c>
      <c r="D41" s="544">
        <v>20</v>
      </c>
      <c r="E41" s="544">
        <v>340</v>
      </c>
      <c r="H41" s="537">
        <f t="shared" si="6"/>
        <v>350</v>
      </c>
      <c r="I41" s="731">
        <f t="shared" si="5"/>
        <v>350</v>
      </c>
      <c r="J41" s="539">
        <f t="shared" si="3"/>
        <v>0</v>
      </c>
      <c r="K41" s="545" t="str">
        <f t="shared" si="4"/>
        <v/>
      </c>
      <c r="L41" s="538"/>
      <c r="M41" s="539"/>
    </row>
    <row r="42" spans="1:13" hidden="1" x14ac:dyDescent="0.2">
      <c r="A42" s="551">
        <v>5341</v>
      </c>
      <c r="B42" s="540" t="s">
        <v>136</v>
      </c>
      <c r="C42" s="544">
        <v>209.06</v>
      </c>
      <c r="D42" s="544">
        <v>204.61</v>
      </c>
      <c r="E42" s="544">
        <v>206.02</v>
      </c>
      <c r="H42" s="537">
        <f t="shared" si="6"/>
        <v>0</v>
      </c>
      <c r="I42" s="731">
        <f t="shared" si="5"/>
        <v>0</v>
      </c>
      <c r="J42" s="539">
        <f t="shared" si="3"/>
        <v>0</v>
      </c>
      <c r="K42" s="545" t="str">
        <f t="shared" si="4"/>
        <v/>
      </c>
      <c r="L42" s="538"/>
      <c r="M42" s="539"/>
    </row>
    <row r="43" spans="1:13" x14ac:dyDescent="0.2">
      <c r="A43" s="551">
        <v>5344</v>
      </c>
      <c r="B43" s="540" t="s">
        <v>137</v>
      </c>
      <c r="C43" s="544">
        <v>53.02</v>
      </c>
      <c r="D43" s="544">
        <v>18.420000000000002</v>
      </c>
      <c r="E43" s="544">
        <v>29.4</v>
      </c>
      <c r="H43" s="537">
        <f t="shared" si="6"/>
        <v>25</v>
      </c>
      <c r="I43" s="731">
        <f t="shared" si="5"/>
        <v>25</v>
      </c>
      <c r="J43" s="539">
        <f t="shared" si="3"/>
        <v>0</v>
      </c>
      <c r="K43" s="545" t="str">
        <f t="shared" si="4"/>
        <v/>
      </c>
      <c r="L43" s="538"/>
      <c r="M43" s="539"/>
    </row>
    <row r="44" spans="1:13" x14ac:dyDescent="0.2">
      <c r="A44" s="551">
        <v>5380</v>
      </c>
      <c r="B44" s="540" t="s">
        <v>948</v>
      </c>
      <c r="C44" s="536"/>
      <c r="D44" s="536"/>
      <c r="E44" s="536"/>
      <c r="H44" s="537">
        <f t="shared" si="6"/>
        <v>0</v>
      </c>
      <c r="I44" s="731">
        <f t="shared" si="5"/>
        <v>0</v>
      </c>
      <c r="J44" s="539">
        <f t="shared" si="3"/>
        <v>0</v>
      </c>
      <c r="K44" s="545" t="str">
        <f t="shared" si="4"/>
        <v/>
      </c>
      <c r="L44" s="538"/>
      <c r="M44" s="539"/>
    </row>
    <row r="45" spans="1:13" x14ac:dyDescent="0.2">
      <c r="A45" s="551">
        <v>5420</v>
      </c>
      <c r="B45" s="540" t="s">
        <v>139</v>
      </c>
      <c r="C45" s="536">
        <v>1648.08</v>
      </c>
      <c r="D45" s="536">
        <v>811.68</v>
      </c>
      <c r="E45" s="536">
        <v>2170.5300000000002</v>
      </c>
      <c r="H45" s="537">
        <f t="shared" si="6"/>
        <v>1900</v>
      </c>
      <c r="I45" s="731">
        <f t="shared" si="5"/>
        <v>1700</v>
      </c>
      <c r="J45" s="539">
        <f t="shared" si="3"/>
        <v>-200</v>
      </c>
      <c r="K45" s="545">
        <f t="shared" si="4"/>
        <v>-0.1053</v>
      </c>
      <c r="L45" s="538" t="s">
        <v>1679</v>
      </c>
      <c r="M45" s="539"/>
    </row>
    <row r="46" spans="1:13" ht="12.75" customHeight="1" x14ac:dyDescent="0.2">
      <c r="A46" s="551">
        <v>5590</v>
      </c>
      <c r="B46" s="540" t="s">
        <v>991</v>
      </c>
      <c r="C46" s="536"/>
      <c r="D46" s="536"/>
      <c r="E46" s="536"/>
      <c r="H46" s="537">
        <f t="shared" si="6"/>
        <v>750</v>
      </c>
      <c r="I46" s="731">
        <f t="shared" si="5"/>
        <v>0</v>
      </c>
      <c r="J46" s="539">
        <f t="shared" si="3"/>
        <v>-750</v>
      </c>
      <c r="K46" s="545">
        <f t="shared" si="4"/>
        <v>-1</v>
      </c>
      <c r="L46" s="538" t="s">
        <v>1680</v>
      </c>
      <c r="M46" s="539"/>
    </row>
    <row r="47" spans="1:13" x14ac:dyDescent="0.2">
      <c r="A47" s="551">
        <v>5710</v>
      </c>
      <c r="B47" s="540" t="s">
        <v>529</v>
      </c>
      <c r="C47" s="536">
        <v>85.52</v>
      </c>
      <c r="D47" s="536">
        <v>21.21</v>
      </c>
      <c r="E47" s="536">
        <v>117.08</v>
      </c>
      <c r="H47" s="537">
        <f t="shared" si="6"/>
        <v>150</v>
      </c>
      <c r="I47" s="731">
        <f t="shared" si="5"/>
        <v>150</v>
      </c>
      <c r="J47" s="539">
        <f t="shared" si="3"/>
        <v>0</v>
      </c>
      <c r="K47" s="545" t="str">
        <f t="shared" si="4"/>
        <v/>
      </c>
      <c r="L47" s="538"/>
      <c r="M47" s="539"/>
    </row>
    <row r="48" spans="1:13" ht="13.5" thickBot="1" x14ac:dyDescent="0.25">
      <c r="A48" s="551">
        <v>5730</v>
      </c>
      <c r="B48" s="540" t="s">
        <v>142</v>
      </c>
      <c r="C48" s="542">
        <v>50</v>
      </c>
      <c r="D48" s="542">
        <v>50</v>
      </c>
      <c r="E48" s="542">
        <v>50</v>
      </c>
      <c r="H48" s="537">
        <f t="shared" si="6"/>
        <v>50</v>
      </c>
      <c r="I48" s="569">
        <f t="shared" si="5"/>
        <v>50</v>
      </c>
      <c r="J48" s="539">
        <f t="shared" si="3"/>
        <v>0</v>
      </c>
      <c r="K48" s="545" t="str">
        <f t="shared" si="4"/>
        <v/>
      </c>
      <c r="L48" s="538"/>
      <c r="M48" s="539"/>
    </row>
    <row r="49" spans="1:15" x14ac:dyDescent="0.2">
      <c r="A49" s="203"/>
      <c r="B49" s="28"/>
      <c r="C49" s="26"/>
      <c r="D49" s="26"/>
      <c r="E49" s="26"/>
      <c r="F49" s="26"/>
      <c r="G49" s="26"/>
      <c r="H49" s="26"/>
      <c r="I49" s="26"/>
      <c r="J49" s="26"/>
      <c r="K49" s="26"/>
      <c r="L49" s="230"/>
      <c r="M49" s="27"/>
    </row>
    <row r="50" spans="1:15" x14ac:dyDescent="0.2">
      <c r="A50" s="203"/>
      <c r="B50" s="4" t="s">
        <v>1600</v>
      </c>
      <c r="C50" s="25"/>
      <c r="D50" s="25"/>
      <c r="E50" s="25"/>
      <c r="F50" s="25"/>
      <c r="G50" s="25"/>
      <c r="H50" s="849">
        <f>SUM(H39:H49)</f>
        <v>3375</v>
      </c>
      <c r="I50" s="849">
        <f>SUM(I39:I49)</f>
        <v>2435</v>
      </c>
      <c r="J50" s="208">
        <f t="shared" ref="J50" si="7">+I50-H50</f>
        <v>-940</v>
      </c>
      <c r="K50" s="850">
        <f t="shared" ref="K50" si="8">IF(H50+I50&lt;&gt;0,IF(H50&lt;&gt;0,IF(J50&lt;&gt;0,ROUND((+J50/H50),4),""),1),"")</f>
        <v>-0.27850000000000003</v>
      </c>
      <c r="L50" s="230"/>
      <c r="M50" s="27"/>
    </row>
    <row r="51" spans="1:15" x14ac:dyDescent="0.2">
      <c r="A51" s="203"/>
      <c r="B51" s="28"/>
      <c r="C51" s="26"/>
      <c r="D51" s="26"/>
      <c r="E51" s="26"/>
      <c r="F51" s="26"/>
      <c r="G51" s="26"/>
      <c r="H51" s="26"/>
      <c r="I51" s="26"/>
      <c r="J51" s="26"/>
      <c r="K51" s="26"/>
      <c r="L51" s="230"/>
      <c r="M51" s="27"/>
    </row>
    <row r="52" spans="1:15" x14ac:dyDescent="0.2">
      <c r="A52" s="203"/>
      <c r="B52" s="28"/>
      <c r="C52" s="26"/>
      <c r="D52" s="26"/>
      <c r="E52" s="26"/>
      <c r="F52" s="26"/>
      <c r="G52" s="26"/>
      <c r="H52" s="26"/>
      <c r="I52" s="26"/>
      <c r="J52" s="26"/>
      <c r="K52" s="26"/>
      <c r="L52" s="230"/>
      <c r="M52" s="27"/>
    </row>
    <row r="53" spans="1:15" x14ac:dyDescent="0.2">
      <c r="A53" s="203"/>
      <c r="B53" s="28"/>
      <c r="C53" s="26"/>
      <c r="D53" s="26"/>
      <c r="E53" s="26"/>
      <c r="F53" s="26"/>
      <c r="G53" s="26"/>
      <c r="H53" s="26"/>
      <c r="I53" s="26"/>
      <c r="J53" s="26"/>
      <c r="K53" s="26"/>
      <c r="L53" s="230"/>
      <c r="M53" s="27"/>
    </row>
    <row r="54" spans="1:15" x14ac:dyDescent="0.2">
      <c r="A54" s="203"/>
      <c r="B54" s="28"/>
      <c r="C54" s="26"/>
      <c r="D54" s="26"/>
      <c r="E54" s="26"/>
      <c r="F54" s="26"/>
      <c r="G54" s="26"/>
      <c r="H54" s="26"/>
      <c r="I54" s="26"/>
      <c r="J54" s="26"/>
      <c r="K54" s="26"/>
      <c r="L54" s="230"/>
      <c r="M54" s="27"/>
    </row>
    <row r="55" spans="1:15" x14ac:dyDescent="0.2">
      <c r="A55" s="72"/>
      <c r="B55" s="4"/>
      <c r="C55" s="26"/>
      <c r="D55" s="26"/>
      <c r="E55" s="26"/>
      <c r="F55" s="26"/>
      <c r="G55" s="26"/>
      <c r="H55" s="26"/>
      <c r="I55" s="26"/>
      <c r="J55" s="26"/>
      <c r="K55" s="26"/>
      <c r="L55" s="230"/>
      <c r="M55" s="27"/>
    </row>
    <row r="56" spans="1:15" x14ac:dyDescent="0.2">
      <c r="A56" s="203"/>
      <c r="B56" s="28"/>
      <c r="C56" s="26"/>
      <c r="D56" s="26"/>
      <c r="E56" s="26"/>
      <c r="F56" s="26"/>
      <c r="G56" s="26"/>
      <c r="H56" s="26"/>
      <c r="I56" s="26"/>
      <c r="J56" s="26"/>
      <c r="K56" s="26"/>
      <c r="L56" s="230"/>
      <c r="M56" s="27"/>
      <c r="O56" s="101"/>
    </row>
    <row r="57" spans="1:15" x14ac:dyDescent="0.2">
      <c r="A57" s="203"/>
      <c r="B57" s="28"/>
      <c r="C57" s="26"/>
      <c r="D57" s="26"/>
      <c r="E57" s="26"/>
      <c r="F57" s="26"/>
      <c r="G57" s="26"/>
      <c r="H57" s="26"/>
      <c r="I57" s="26"/>
      <c r="J57" s="26"/>
      <c r="K57" s="26"/>
      <c r="L57" s="27"/>
      <c r="M57" s="27"/>
      <c r="N57" s="230"/>
      <c r="O57" s="101"/>
    </row>
    <row r="58" spans="1:15" x14ac:dyDescent="0.2">
      <c r="A58" s="28"/>
      <c r="B58" s="28"/>
      <c r="C58" s="26"/>
      <c r="D58" s="226"/>
      <c r="E58" s="226"/>
      <c r="F58" s="226"/>
      <c r="G58" s="226"/>
      <c r="H58" s="226"/>
      <c r="I58" s="226"/>
      <c r="J58" s="226"/>
      <c r="K58" s="101"/>
      <c r="L58" s="144"/>
      <c r="M58" s="144"/>
      <c r="N58" s="101"/>
      <c r="O58" s="101"/>
    </row>
    <row r="59" spans="1:15" x14ac:dyDescent="0.2">
      <c r="A59" s="28"/>
      <c r="B59" s="28"/>
      <c r="C59" s="26"/>
      <c r="D59" s="226"/>
      <c r="E59" s="226"/>
      <c r="F59" s="226"/>
      <c r="G59" s="226"/>
      <c r="H59" s="226"/>
      <c r="I59" s="226"/>
      <c r="J59" s="226"/>
      <c r="K59" s="101"/>
      <c r="L59" s="144"/>
      <c r="M59" s="144"/>
      <c r="N59" s="101"/>
      <c r="O59" s="101"/>
    </row>
    <row r="60" spans="1:15" x14ac:dyDescent="0.2">
      <c r="A60" s="28"/>
      <c r="B60" s="28"/>
      <c r="C60" s="26"/>
      <c r="D60" s="226"/>
      <c r="E60" s="226"/>
      <c r="F60" s="226"/>
      <c r="G60" s="226"/>
      <c r="H60" s="226"/>
      <c r="I60" s="226"/>
      <c r="J60" s="226"/>
      <c r="K60" s="101"/>
      <c r="L60" s="144"/>
      <c r="M60" s="144"/>
      <c r="N60" s="101"/>
      <c r="O60" s="101"/>
    </row>
    <row r="61" spans="1:15" x14ac:dyDescent="0.2">
      <c r="A61" s="28"/>
      <c r="B61" s="28"/>
      <c r="C61" s="26"/>
      <c r="D61" s="226"/>
      <c r="E61" s="226"/>
      <c r="F61" s="226"/>
      <c r="G61" s="226"/>
      <c r="H61" s="226"/>
      <c r="I61" s="226"/>
      <c r="J61" s="226"/>
      <c r="K61" s="101"/>
      <c r="L61" s="144"/>
      <c r="M61" s="144"/>
      <c r="N61" s="101"/>
      <c r="O61" s="101"/>
    </row>
    <row r="62" spans="1:15" x14ac:dyDescent="0.2">
      <c r="A62" s="28"/>
      <c r="B62" s="28"/>
      <c r="C62" s="26"/>
      <c r="D62" s="26"/>
      <c r="E62" s="26"/>
      <c r="F62" s="26"/>
      <c r="G62" s="26"/>
      <c r="H62" s="26"/>
      <c r="I62" s="26"/>
      <c r="J62" s="26"/>
      <c r="K62" s="27"/>
      <c r="L62" s="26"/>
      <c r="M62" s="26"/>
      <c r="N62" s="27"/>
      <c r="O62" s="27"/>
    </row>
    <row r="63" spans="1:15" x14ac:dyDescent="0.2">
      <c r="A63" s="28"/>
      <c r="B63" s="28"/>
      <c r="C63" s="26"/>
      <c r="D63" s="26"/>
      <c r="E63" s="26"/>
      <c r="F63" s="26"/>
      <c r="G63" s="26"/>
      <c r="H63" s="26"/>
      <c r="I63" s="26"/>
      <c r="J63" s="26"/>
      <c r="K63" s="27"/>
      <c r="L63" s="26"/>
      <c r="M63" s="26"/>
      <c r="N63" s="27"/>
      <c r="O63" s="27"/>
    </row>
    <row r="64" spans="1:15" x14ac:dyDescent="0.2">
      <c r="A64" s="4"/>
      <c r="B64" s="28"/>
      <c r="C64" s="26"/>
      <c r="D64" s="26"/>
      <c r="E64" s="26"/>
      <c r="F64" s="26"/>
      <c r="G64" s="26"/>
      <c r="H64" s="26"/>
      <c r="I64" s="26"/>
      <c r="J64" s="26"/>
      <c r="K64" s="29"/>
      <c r="L64" s="25"/>
      <c r="M64" s="25"/>
      <c r="N64" s="29"/>
      <c r="O64" s="29"/>
    </row>
    <row r="65" spans="1:15" x14ac:dyDescent="0.2">
      <c r="A65" s="4"/>
      <c r="B65" s="28"/>
      <c r="C65" s="26"/>
      <c r="D65" s="26"/>
      <c r="E65" s="26"/>
      <c r="F65" s="26"/>
      <c r="G65" s="26"/>
      <c r="H65" s="26"/>
      <c r="I65" s="26"/>
      <c r="J65" s="26"/>
      <c r="K65" s="29"/>
      <c r="L65" s="25"/>
      <c r="M65" s="25"/>
      <c r="N65" s="29"/>
      <c r="O65" s="29"/>
    </row>
    <row r="66" spans="1:15" x14ac:dyDescent="0.2">
      <c r="A66" s="4"/>
      <c r="B66" s="28"/>
      <c r="C66" s="157"/>
      <c r="D66" s="26"/>
      <c r="E66" s="26"/>
      <c r="F66" s="26"/>
      <c r="G66" s="26"/>
      <c r="H66" s="26"/>
      <c r="I66" s="26"/>
      <c r="J66" s="26"/>
      <c r="K66" s="29"/>
      <c r="L66" s="25"/>
      <c r="M66" s="25"/>
      <c r="N66" s="29"/>
      <c r="O66" s="29"/>
    </row>
    <row r="67" spans="1:15" x14ac:dyDescent="0.2">
      <c r="A67" s="4"/>
      <c r="B67" s="28"/>
      <c r="C67" s="26"/>
      <c r="D67" s="26"/>
      <c r="E67" s="26"/>
      <c r="F67" s="26"/>
      <c r="G67" s="26"/>
      <c r="H67" s="26"/>
      <c r="I67" s="26"/>
      <c r="J67" s="26"/>
      <c r="K67" s="29"/>
      <c r="L67" s="25"/>
      <c r="M67" s="25"/>
      <c r="N67" s="29"/>
      <c r="O67" s="29"/>
    </row>
    <row r="68" spans="1:15" x14ac:dyDescent="0.2">
      <c r="A68" s="4"/>
      <c r="B68" s="28"/>
      <c r="C68" s="26"/>
      <c r="D68" s="26"/>
      <c r="E68" s="26"/>
      <c r="F68" s="26"/>
      <c r="G68" s="26"/>
      <c r="H68" s="26"/>
      <c r="I68" s="26"/>
      <c r="J68" s="26"/>
      <c r="K68" s="25"/>
      <c r="L68" s="25"/>
      <c r="M68" s="25"/>
      <c r="N68" s="25"/>
      <c r="O68" s="25"/>
    </row>
    <row r="69" spans="1:15" x14ac:dyDescent="0.2">
      <c r="A69" s="4"/>
      <c r="B69" s="28"/>
      <c r="C69" s="26"/>
      <c r="D69" s="26"/>
      <c r="E69" s="26"/>
      <c r="F69" s="26"/>
      <c r="G69" s="26"/>
      <c r="H69" s="26"/>
      <c r="I69" s="26"/>
      <c r="J69" s="26"/>
      <c r="K69" s="29"/>
      <c r="L69" s="25"/>
      <c r="M69" s="25"/>
      <c r="N69" s="29"/>
      <c r="O69" s="29"/>
    </row>
    <row r="70" spans="1:15" x14ac:dyDescent="0.2">
      <c r="A70" s="4"/>
      <c r="B70" s="4"/>
      <c r="C70" s="25"/>
      <c r="D70" s="25"/>
      <c r="E70" s="25"/>
      <c r="F70" s="25"/>
      <c r="G70" s="25"/>
      <c r="H70" s="25"/>
      <c r="I70" s="25"/>
      <c r="J70" s="25"/>
      <c r="K70" s="29"/>
      <c r="L70" s="25"/>
      <c r="M70" s="25"/>
      <c r="N70" s="29"/>
      <c r="O70" s="29"/>
    </row>
    <row r="71" spans="1:15" x14ac:dyDescent="0.2">
      <c r="A71" s="4"/>
      <c r="B71" s="4"/>
      <c r="C71" s="25"/>
      <c r="D71" s="25"/>
      <c r="E71" s="25"/>
      <c r="F71" s="25"/>
      <c r="G71" s="25"/>
      <c r="H71" s="25"/>
      <c r="I71" s="25"/>
      <c r="J71" s="25"/>
      <c r="K71" s="29"/>
      <c r="L71" s="25"/>
      <c r="M71" s="25"/>
      <c r="N71" s="29"/>
      <c r="O71" s="29"/>
    </row>
    <row r="72" spans="1:15" ht="15" x14ac:dyDescent="0.25">
      <c r="A72" s="417"/>
      <c r="B72" s="4"/>
      <c r="C72" s="25"/>
      <c r="D72" s="25"/>
      <c r="E72" s="25"/>
      <c r="F72" s="25"/>
      <c r="G72" s="25"/>
      <c r="H72" s="25"/>
      <c r="I72" s="25"/>
      <c r="J72" s="25"/>
      <c r="K72" s="29"/>
      <c r="L72" s="25"/>
      <c r="M72" s="25"/>
      <c r="N72" s="29"/>
      <c r="O72" s="29"/>
    </row>
    <row r="73" spans="1:15" x14ac:dyDescent="0.2">
      <c r="A73" s="72"/>
      <c r="B73" s="4"/>
      <c r="C73" s="25"/>
      <c r="D73" s="25"/>
      <c r="E73" s="25"/>
      <c r="F73" s="25"/>
      <c r="G73" s="25"/>
      <c r="H73" s="25"/>
      <c r="I73" s="25"/>
      <c r="J73" s="25"/>
      <c r="K73" s="29"/>
      <c r="L73" s="25"/>
      <c r="M73" s="25"/>
      <c r="N73" s="29"/>
      <c r="O73" s="29"/>
    </row>
    <row r="74" spans="1:15" x14ac:dyDescent="0.2">
      <c r="A74" s="4"/>
      <c r="B74" s="4"/>
      <c r="C74" s="25"/>
      <c r="D74" s="25"/>
      <c r="E74" s="25"/>
      <c r="F74" s="25"/>
      <c r="G74" s="25"/>
      <c r="H74" s="25"/>
      <c r="I74" s="25"/>
      <c r="J74" s="25"/>
      <c r="K74" s="29"/>
      <c r="L74" s="25"/>
      <c r="M74" s="25"/>
      <c r="N74" s="29"/>
      <c r="O74" s="29"/>
    </row>
    <row r="75" spans="1:15" x14ac:dyDescent="0.2">
      <c r="A75" s="4"/>
      <c r="B75" s="4"/>
      <c r="C75" s="25"/>
      <c r="D75" s="25"/>
      <c r="E75" s="25"/>
      <c r="F75" s="25"/>
      <c r="G75" s="25"/>
      <c r="H75" s="25"/>
      <c r="I75" s="25"/>
      <c r="J75" s="25"/>
      <c r="K75" s="29"/>
      <c r="L75" s="25"/>
      <c r="M75" s="25"/>
      <c r="N75" s="29"/>
      <c r="O75" s="29"/>
    </row>
    <row r="76" spans="1:15" x14ac:dyDescent="0.2">
      <c r="A76" s="4"/>
      <c r="B76" s="4"/>
      <c r="C76" s="25"/>
      <c r="D76" s="25"/>
      <c r="E76" s="25"/>
      <c r="F76" s="25"/>
      <c r="G76" s="25"/>
      <c r="H76" s="25"/>
      <c r="I76" s="25"/>
      <c r="J76" s="25"/>
      <c r="K76" s="29"/>
      <c r="L76" s="25"/>
      <c r="M76" s="25"/>
      <c r="N76" s="29"/>
      <c r="O76" s="29"/>
    </row>
    <row r="77" spans="1:15" x14ac:dyDescent="0.2">
      <c r="A77" s="4"/>
      <c r="B77" s="4"/>
      <c r="C77" s="25"/>
      <c r="D77" s="25"/>
      <c r="E77" s="25"/>
      <c r="F77" s="25"/>
      <c r="G77" s="25"/>
      <c r="H77" s="25"/>
      <c r="I77" s="25"/>
      <c r="J77" s="25"/>
      <c r="K77" s="29"/>
      <c r="L77" s="25"/>
      <c r="M77" s="25"/>
      <c r="N77" s="29"/>
      <c r="O77" s="29"/>
    </row>
    <row r="78" spans="1:15" x14ac:dyDescent="0.2">
      <c r="A78" s="4"/>
      <c r="B78" s="4"/>
      <c r="C78" s="25"/>
      <c r="D78" s="25"/>
      <c r="E78" s="25"/>
      <c r="F78" s="25"/>
      <c r="G78" s="25"/>
      <c r="H78" s="25"/>
      <c r="I78" s="25"/>
      <c r="J78" s="25"/>
      <c r="K78" s="29"/>
      <c r="L78" s="25"/>
      <c r="M78" s="25"/>
      <c r="N78" s="29"/>
      <c r="O78" s="29"/>
    </row>
    <row r="79" spans="1:15" x14ac:dyDescent="0.2">
      <c r="A79" s="4"/>
      <c r="B79" s="4"/>
      <c r="C79" s="25"/>
      <c r="D79" s="25"/>
      <c r="E79" s="25"/>
      <c r="F79" s="25"/>
      <c r="G79" s="25"/>
      <c r="H79" s="25"/>
      <c r="I79" s="25"/>
      <c r="J79" s="25"/>
      <c r="K79" s="29"/>
      <c r="L79" s="25"/>
      <c r="M79" s="25"/>
      <c r="N79" s="29"/>
      <c r="O79" s="29"/>
    </row>
    <row r="80" spans="1:15" x14ac:dyDescent="0.2">
      <c r="A80" s="4"/>
      <c r="B80" s="102"/>
      <c r="C80" s="112"/>
      <c r="D80" s="112"/>
      <c r="E80" s="112"/>
      <c r="F80" s="112"/>
      <c r="G80" s="112"/>
      <c r="H80" s="112"/>
      <c r="I80" s="112"/>
      <c r="J80" s="112"/>
      <c r="K80" s="103"/>
      <c r="L80" s="112"/>
      <c r="M80" s="112"/>
      <c r="N80" s="103"/>
      <c r="O80" s="103"/>
    </row>
    <row r="81" spans="1:15" x14ac:dyDescent="0.2">
      <c r="A81" s="4"/>
      <c r="B81" s="102"/>
      <c r="C81" s="112"/>
      <c r="D81" s="112"/>
      <c r="E81" s="112"/>
      <c r="F81" s="112"/>
      <c r="G81" s="112"/>
      <c r="H81" s="112"/>
      <c r="I81" s="112"/>
      <c r="J81" s="112"/>
      <c r="K81" s="103"/>
      <c r="L81" s="112"/>
      <c r="M81" s="112"/>
      <c r="N81" s="103"/>
      <c r="O81" s="103"/>
    </row>
    <row r="82" spans="1:15" x14ac:dyDescent="0.2">
      <c r="A82" s="4"/>
      <c r="B82" s="102"/>
      <c r="C82" s="112"/>
      <c r="D82" s="112"/>
      <c r="E82" s="112"/>
      <c r="F82" s="112"/>
      <c r="G82" s="112"/>
      <c r="H82" s="112"/>
      <c r="I82" s="112"/>
      <c r="J82" s="112"/>
      <c r="K82" s="103"/>
      <c r="L82" s="112"/>
      <c r="M82" s="112"/>
      <c r="N82" s="103"/>
      <c r="O82" s="103"/>
    </row>
    <row r="83" spans="1:15" x14ac:dyDescent="0.2">
      <c r="A83" s="4"/>
      <c r="B83" s="102"/>
      <c r="C83" s="112"/>
      <c r="D83" s="112"/>
      <c r="E83" s="112"/>
      <c r="F83" s="112"/>
      <c r="G83" s="112"/>
      <c r="H83" s="112"/>
      <c r="I83" s="112"/>
      <c r="J83" s="112"/>
      <c r="K83" s="103"/>
      <c r="L83" s="112"/>
      <c r="M83" s="112"/>
      <c r="N83" s="103"/>
      <c r="O83" s="103"/>
    </row>
    <row r="84" spans="1:15" x14ac:dyDescent="0.2">
      <c r="A84" s="4"/>
      <c r="B84" s="102"/>
      <c r="C84" s="112"/>
      <c r="D84" s="112"/>
      <c r="E84" s="112"/>
      <c r="F84" s="112"/>
      <c r="G84" s="112"/>
      <c r="H84" s="112"/>
      <c r="I84" s="112"/>
      <c r="J84" s="112"/>
      <c r="K84" s="103"/>
      <c r="L84" s="112"/>
      <c r="M84" s="112"/>
      <c r="N84" s="103"/>
      <c r="O84" s="103"/>
    </row>
    <row r="85" spans="1:15" x14ac:dyDescent="0.2">
      <c r="A85" s="4"/>
      <c r="B85" s="102"/>
      <c r="C85" s="112"/>
      <c r="D85" s="112"/>
      <c r="E85" s="112"/>
      <c r="F85" s="112"/>
      <c r="G85" s="112"/>
      <c r="H85" s="112"/>
      <c r="I85" s="112"/>
      <c r="J85" s="112"/>
      <c r="K85" s="103"/>
      <c r="L85" s="112"/>
      <c r="M85" s="112"/>
      <c r="N85" s="103"/>
      <c r="O85" s="103"/>
    </row>
    <row r="86" spans="1:15" x14ac:dyDescent="0.2">
      <c r="A86" s="4"/>
      <c r="B86" s="102"/>
      <c r="C86" s="112"/>
      <c r="D86" s="112"/>
      <c r="E86" s="112"/>
      <c r="F86" s="112"/>
      <c r="G86" s="112"/>
      <c r="H86" s="112"/>
      <c r="I86" s="112"/>
      <c r="J86" s="112"/>
      <c r="K86" s="103"/>
      <c r="L86" s="112"/>
      <c r="M86" s="112"/>
      <c r="N86" s="103"/>
      <c r="O86" s="103"/>
    </row>
    <row r="87" spans="1:15" x14ac:dyDescent="0.2">
      <c r="A87" s="4"/>
      <c r="B87" s="102"/>
      <c r="C87" s="112"/>
      <c r="D87" s="112"/>
      <c r="E87" s="112"/>
      <c r="F87" s="112"/>
      <c r="G87" s="112"/>
      <c r="H87" s="112"/>
      <c r="I87" s="112"/>
      <c r="J87" s="112"/>
      <c r="K87" s="103"/>
      <c r="L87" s="112"/>
      <c r="M87" s="112"/>
      <c r="N87" s="103"/>
      <c r="O87" s="103"/>
    </row>
    <row r="88" spans="1:15" x14ac:dyDescent="0.2">
      <c r="A88" s="4"/>
      <c r="B88" s="102"/>
      <c r="C88" s="112"/>
      <c r="D88" s="112"/>
      <c r="E88" s="112"/>
      <c r="F88" s="112"/>
      <c r="G88" s="112"/>
      <c r="H88" s="112"/>
      <c r="I88" s="112"/>
      <c r="J88" s="112"/>
      <c r="K88" s="103"/>
      <c r="L88" s="112"/>
      <c r="M88" s="112"/>
      <c r="N88" s="103"/>
      <c r="O88" s="103"/>
    </row>
    <row r="89" spans="1:15" x14ac:dyDescent="0.2">
      <c r="A89" s="4"/>
      <c r="B89" s="102"/>
      <c r="C89" s="112"/>
      <c r="D89" s="112"/>
      <c r="E89" s="112"/>
      <c r="F89" s="112"/>
      <c r="G89" s="112"/>
      <c r="H89" s="112"/>
      <c r="I89" s="112"/>
      <c r="J89" s="112"/>
      <c r="K89" s="103"/>
      <c r="L89" s="112"/>
      <c r="M89" s="112"/>
      <c r="N89" s="103"/>
      <c r="O89" s="103"/>
    </row>
    <row r="90" spans="1:15" x14ac:dyDescent="0.2">
      <c r="A90" s="4"/>
      <c r="B90" s="4"/>
      <c r="C90" s="25"/>
      <c r="D90" s="25"/>
      <c r="E90" s="25"/>
      <c r="F90" s="25"/>
      <c r="G90" s="25"/>
      <c r="H90" s="25"/>
      <c r="I90" s="25"/>
      <c r="J90" s="25"/>
      <c r="K90" s="29"/>
      <c r="L90" s="25"/>
      <c r="M90" s="25"/>
      <c r="N90" s="29"/>
      <c r="O90" s="29"/>
    </row>
    <row r="91" spans="1:15" x14ac:dyDescent="0.2">
      <c r="A91" s="4"/>
      <c r="B91" s="4"/>
      <c r="C91" s="25"/>
      <c r="D91" s="25"/>
      <c r="E91" s="25"/>
      <c r="F91" s="25"/>
      <c r="G91" s="25"/>
      <c r="H91" s="25"/>
      <c r="I91" s="25"/>
      <c r="J91" s="25"/>
      <c r="K91" s="29"/>
      <c r="L91" s="25"/>
      <c r="M91" s="25"/>
      <c r="N91" s="29"/>
      <c r="O91" s="29"/>
    </row>
    <row r="92" spans="1:15" x14ac:dyDescent="0.2">
      <c r="A92" s="4"/>
      <c r="B92" s="4"/>
      <c r="C92" s="25"/>
      <c r="D92" s="25"/>
      <c r="E92" s="25"/>
      <c r="F92" s="25"/>
      <c r="G92" s="25"/>
      <c r="H92" s="25"/>
      <c r="I92" s="25"/>
      <c r="J92" s="25"/>
      <c r="K92" s="29"/>
      <c r="L92" s="25"/>
      <c r="M92" s="25"/>
      <c r="N92" s="29"/>
      <c r="O92" s="29"/>
    </row>
    <row r="93" spans="1:15" x14ac:dyDescent="0.2">
      <c r="A93" s="4"/>
      <c r="B93" s="4"/>
      <c r="C93" s="25"/>
      <c r="D93" s="25"/>
      <c r="E93" s="25"/>
      <c r="F93" s="25"/>
      <c r="G93" s="25"/>
      <c r="H93" s="25"/>
      <c r="I93" s="25"/>
      <c r="J93" s="25"/>
      <c r="K93" s="29"/>
      <c r="L93" s="25"/>
      <c r="M93" s="25"/>
      <c r="N93" s="29"/>
      <c r="O93" s="29"/>
    </row>
    <row r="94" spans="1:15" x14ac:dyDescent="0.2">
      <c r="A94" s="4"/>
      <c r="B94" s="4"/>
      <c r="C94" s="25"/>
      <c r="D94" s="25"/>
      <c r="E94" s="25"/>
      <c r="F94" s="25"/>
      <c r="G94" s="25"/>
      <c r="H94" s="25"/>
      <c r="I94" s="25"/>
      <c r="J94" s="25"/>
      <c r="K94" s="29"/>
      <c r="L94" s="25"/>
      <c r="M94" s="25"/>
      <c r="N94" s="29"/>
      <c r="O94" s="29"/>
    </row>
    <row r="95" spans="1:15" x14ac:dyDescent="0.2">
      <c r="A95" s="4"/>
      <c r="B95" s="4"/>
      <c r="C95" s="25"/>
      <c r="D95" s="25"/>
      <c r="E95" s="25"/>
      <c r="F95" s="25"/>
      <c r="G95" s="25"/>
      <c r="H95" s="25"/>
      <c r="I95" s="25"/>
      <c r="J95" s="25"/>
      <c r="K95" s="29"/>
      <c r="L95" s="25"/>
      <c r="M95" s="25"/>
      <c r="N95" s="29"/>
      <c r="O95" s="29"/>
    </row>
    <row r="96" spans="1:15" x14ac:dyDescent="0.2">
      <c r="A96" s="4"/>
      <c r="B96" s="4"/>
      <c r="C96" s="25"/>
      <c r="D96" s="25"/>
      <c r="E96" s="25"/>
      <c r="F96" s="25"/>
      <c r="G96" s="25"/>
      <c r="H96" s="25"/>
      <c r="I96" s="25"/>
      <c r="J96" s="25"/>
      <c r="K96" s="29"/>
      <c r="L96" s="25"/>
      <c r="M96" s="25"/>
      <c r="N96" s="29"/>
      <c r="O96" s="29"/>
    </row>
    <row r="97" spans="1:15" x14ac:dyDescent="0.2">
      <c r="A97" s="4"/>
      <c r="B97" s="4"/>
      <c r="C97" s="25"/>
      <c r="D97" s="25"/>
      <c r="E97" s="25"/>
      <c r="F97" s="25"/>
      <c r="G97" s="25"/>
      <c r="H97" s="25"/>
      <c r="I97" s="25"/>
      <c r="J97" s="25"/>
      <c r="K97" s="29"/>
      <c r="L97" s="25"/>
      <c r="M97" s="25"/>
      <c r="N97" s="29"/>
      <c r="O97" s="29"/>
    </row>
    <row r="98" spans="1:15" x14ac:dyDescent="0.2">
      <c r="A98" s="4"/>
      <c r="B98" s="4"/>
      <c r="C98" s="25"/>
      <c r="D98" s="25"/>
      <c r="E98" s="25"/>
      <c r="F98" s="25"/>
      <c r="G98" s="25"/>
      <c r="H98" s="25"/>
      <c r="I98" s="25"/>
      <c r="J98" s="25"/>
      <c r="K98" s="29"/>
      <c r="L98" s="25"/>
      <c r="M98" s="25"/>
      <c r="N98" s="29"/>
      <c r="O98" s="29"/>
    </row>
    <row r="99" spans="1:15" x14ac:dyDescent="0.2">
      <c r="A99" s="4"/>
      <c r="B99" s="4"/>
      <c r="C99" s="25"/>
      <c r="D99" s="25"/>
      <c r="E99" s="25"/>
      <c r="F99" s="25"/>
      <c r="G99" s="25"/>
      <c r="H99" s="25"/>
      <c r="I99" s="25"/>
      <c r="J99" s="25"/>
      <c r="K99" s="29"/>
      <c r="L99" s="25"/>
      <c r="M99" s="25"/>
      <c r="N99" s="29"/>
      <c r="O99" s="29"/>
    </row>
    <row r="100" spans="1:15" x14ac:dyDescent="0.2">
      <c r="A100" s="4"/>
      <c r="B100" s="4"/>
      <c r="C100" s="25"/>
      <c r="D100" s="25"/>
      <c r="E100" s="25"/>
      <c r="F100" s="25"/>
      <c r="G100" s="25"/>
      <c r="H100" s="25"/>
      <c r="I100" s="25"/>
      <c r="J100" s="25"/>
      <c r="K100" s="29"/>
      <c r="L100" s="25"/>
      <c r="M100" s="25"/>
      <c r="N100" s="29"/>
      <c r="O100" s="29"/>
    </row>
    <row r="101" spans="1:15" x14ac:dyDescent="0.2">
      <c r="A101" s="4"/>
      <c r="B101" s="4"/>
      <c r="C101" s="25"/>
      <c r="D101" s="25"/>
      <c r="E101" s="25"/>
      <c r="F101" s="25"/>
      <c r="G101" s="25"/>
      <c r="H101" s="25"/>
      <c r="I101" s="25"/>
      <c r="J101" s="25"/>
      <c r="K101" s="29"/>
      <c r="L101" s="25"/>
      <c r="M101" s="25"/>
      <c r="N101" s="29"/>
      <c r="O101" s="29"/>
    </row>
    <row r="102" spans="1:15" x14ac:dyDescent="0.2">
      <c r="A102" s="4"/>
      <c r="B102" s="4"/>
      <c r="C102" s="25"/>
      <c r="D102" s="25"/>
      <c r="E102" s="25"/>
      <c r="F102" s="25"/>
      <c r="G102" s="25"/>
      <c r="H102" s="25"/>
      <c r="I102" s="25"/>
      <c r="J102" s="25"/>
      <c r="K102" s="29"/>
      <c r="L102" s="25"/>
      <c r="M102" s="25"/>
      <c r="N102" s="29"/>
      <c r="O102" s="29"/>
    </row>
    <row r="103" spans="1:15" x14ac:dyDescent="0.2">
      <c r="A103" s="4"/>
      <c r="B103" s="4"/>
      <c r="C103" s="25"/>
      <c r="D103" s="25"/>
      <c r="E103" s="25"/>
      <c r="F103" s="25"/>
      <c r="G103" s="25"/>
      <c r="H103" s="25"/>
      <c r="I103" s="25"/>
      <c r="J103" s="25"/>
      <c r="K103" s="29"/>
      <c r="L103" s="25"/>
      <c r="M103" s="25"/>
      <c r="N103" s="29"/>
      <c r="O103" s="29"/>
    </row>
    <row r="104" spans="1:15" x14ac:dyDescent="0.2">
      <c r="A104" s="4"/>
      <c r="B104" s="4"/>
      <c r="C104" s="25"/>
      <c r="D104" s="25"/>
      <c r="E104" s="25"/>
      <c r="F104" s="25"/>
      <c r="G104" s="25"/>
      <c r="H104" s="25"/>
      <c r="I104" s="25"/>
      <c r="J104" s="25"/>
      <c r="K104" s="29"/>
      <c r="L104" s="25"/>
      <c r="M104" s="25"/>
      <c r="N104" s="29"/>
      <c r="O104" s="29"/>
    </row>
    <row r="105" spans="1:15" x14ac:dyDescent="0.2">
      <c r="A105" s="4"/>
      <c r="B105" s="4"/>
      <c r="C105" s="25"/>
      <c r="D105" s="25"/>
      <c r="E105" s="25"/>
      <c r="F105" s="25"/>
      <c r="G105" s="25"/>
      <c r="H105" s="25"/>
      <c r="I105" s="25"/>
      <c r="J105" s="25"/>
      <c r="K105" s="29"/>
      <c r="L105" s="25"/>
      <c r="M105" s="25"/>
      <c r="N105" s="29"/>
      <c r="O105" s="29"/>
    </row>
    <row r="106" spans="1:15" x14ac:dyDescent="0.2">
      <c r="A106" s="4"/>
      <c r="B106" s="4"/>
      <c r="C106" s="25"/>
      <c r="D106" s="25"/>
      <c r="E106" s="25"/>
      <c r="F106" s="25"/>
      <c r="G106" s="25"/>
      <c r="H106" s="25"/>
      <c r="I106" s="25"/>
      <c r="J106" s="25"/>
      <c r="K106" s="29"/>
      <c r="L106" s="25"/>
      <c r="M106" s="25"/>
      <c r="N106" s="29"/>
      <c r="O106" s="29"/>
    </row>
    <row r="107" spans="1:15" x14ac:dyDescent="0.2">
      <c r="A107" s="4"/>
      <c r="B107" s="4"/>
      <c r="C107" s="25"/>
      <c r="D107" s="25"/>
      <c r="E107" s="25"/>
      <c r="F107" s="25"/>
      <c r="G107" s="25"/>
      <c r="H107" s="25"/>
      <c r="I107" s="25"/>
      <c r="J107" s="25"/>
      <c r="K107" s="29"/>
      <c r="L107" s="25"/>
      <c r="M107" s="25"/>
      <c r="N107" s="29"/>
      <c r="O107" s="29"/>
    </row>
    <row r="108" spans="1:15" x14ac:dyDescent="0.2">
      <c r="A108" s="4"/>
      <c r="B108" s="4"/>
      <c r="C108" s="25"/>
      <c r="D108" s="25"/>
      <c r="E108" s="25"/>
      <c r="F108" s="25"/>
      <c r="G108" s="25"/>
      <c r="H108" s="25"/>
      <c r="I108" s="25"/>
      <c r="J108" s="25"/>
      <c r="K108" s="29"/>
      <c r="L108" s="25"/>
      <c r="M108" s="25"/>
      <c r="N108" s="29"/>
      <c r="O108" s="29"/>
    </row>
    <row r="109" spans="1:15" x14ac:dyDescent="0.2">
      <c r="A109" s="4"/>
      <c r="B109" s="4"/>
      <c r="C109" s="25"/>
      <c r="D109" s="25"/>
      <c r="E109" s="25"/>
      <c r="F109" s="25"/>
      <c r="G109" s="25"/>
      <c r="H109" s="25"/>
      <c r="I109" s="25"/>
      <c r="J109" s="25"/>
      <c r="K109" s="29"/>
      <c r="L109" s="25"/>
      <c r="M109" s="25"/>
      <c r="N109" s="29"/>
      <c r="O109" s="29"/>
    </row>
    <row r="110" spans="1:15" x14ac:dyDescent="0.2">
      <c r="A110" s="4"/>
      <c r="B110" s="4"/>
      <c r="C110" s="25"/>
      <c r="D110" s="25"/>
      <c r="E110" s="25"/>
      <c r="F110" s="25"/>
      <c r="G110" s="25"/>
      <c r="H110" s="25"/>
      <c r="I110" s="25"/>
      <c r="J110" s="25"/>
      <c r="K110" s="29"/>
      <c r="L110" s="25"/>
      <c r="M110" s="25"/>
      <c r="N110" s="29"/>
      <c r="O110" s="29"/>
    </row>
    <row r="111" spans="1:15" x14ac:dyDescent="0.2">
      <c r="A111" s="4"/>
      <c r="B111" s="4"/>
      <c r="C111" s="25"/>
      <c r="D111" s="25"/>
      <c r="E111" s="25"/>
      <c r="F111" s="25"/>
      <c r="G111" s="25"/>
      <c r="H111" s="25"/>
      <c r="I111" s="25"/>
      <c r="J111" s="25"/>
      <c r="K111" s="29"/>
      <c r="L111" s="25"/>
      <c r="M111" s="25"/>
      <c r="N111" s="29"/>
      <c r="O111" s="29"/>
    </row>
    <row r="112" spans="1:15" x14ac:dyDescent="0.2">
      <c r="A112" s="4"/>
      <c r="B112" s="4"/>
      <c r="C112" s="25"/>
      <c r="D112" s="25"/>
      <c r="E112" s="25"/>
      <c r="F112" s="25"/>
      <c r="G112" s="25"/>
      <c r="H112" s="25"/>
      <c r="I112" s="25"/>
      <c r="J112" s="25"/>
      <c r="K112" s="4"/>
      <c r="L112" s="25"/>
      <c r="M112" s="25"/>
      <c r="N112" s="4"/>
      <c r="O112" s="4"/>
    </row>
    <row r="113" spans="1:15" x14ac:dyDescent="0.2">
      <c r="A113" s="4"/>
      <c r="B113" s="4"/>
      <c r="C113" s="25"/>
      <c r="D113" s="25"/>
      <c r="E113" s="25"/>
      <c r="F113" s="25"/>
      <c r="G113" s="25"/>
      <c r="H113" s="25"/>
      <c r="I113" s="25"/>
      <c r="J113" s="25"/>
      <c r="K113" s="4"/>
      <c r="L113" s="25"/>
      <c r="M113" s="25"/>
      <c r="N113" s="4"/>
      <c r="O113" s="4"/>
    </row>
    <row r="114" spans="1:15" x14ac:dyDescent="0.2">
      <c r="A114" s="4"/>
      <c r="B114" s="4"/>
      <c r="C114" s="25"/>
      <c r="D114" s="25"/>
      <c r="E114" s="25"/>
      <c r="F114" s="25"/>
      <c r="G114" s="25"/>
      <c r="H114" s="25"/>
      <c r="I114" s="25"/>
      <c r="J114" s="25"/>
      <c r="K114" s="4"/>
      <c r="L114" s="25"/>
      <c r="M114" s="25"/>
      <c r="N114" s="4"/>
      <c r="O114" s="4"/>
    </row>
    <row r="115" spans="1:15" x14ac:dyDescent="0.2">
      <c r="A115" s="4"/>
      <c r="B115" s="4"/>
      <c r="C115" s="25"/>
      <c r="D115" s="25"/>
      <c r="E115" s="25"/>
      <c r="F115" s="25"/>
      <c r="G115" s="25"/>
      <c r="H115" s="25"/>
      <c r="I115" s="25"/>
      <c r="J115" s="25"/>
      <c r="K115" s="4"/>
      <c r="L115" s="25"/>
      <c r="M115" s="25"/>
      <c r="N115" s="4"/>
      <c r="O115" s="4"/>
    </row>
    <row r="116" spans="1:15" x14ac:dyDescent="0.2">
      <c r="A116" s="4"/>
      <c r="B116" s="4"/>
      <c r="C116" s="25"/>
      <c r="D116" s="25"/>
      <c r="E116" s="25"/>
      <c r="F116" s="25"/>
      <c r="G116" s="25"/>
      <c r="H116" s="25"/>
      <c r="I116" s="25"/>
      <c r="J116" s="25"/>
      <c r="K116" s="4"/>
      <c r="L116" s="25"/>
      <c r="M116" s="25"/>
      <c r="N116" s="4"/>
      <c r="O116" s="4"/>
    </row>
    <row r="117" spans="1:15" x14ac:dyDescent="0.2">
      <c r="A117" s="4"/>
      <c r="B117" s="4"/>
      <c r="C117" s="25"/>
      <c r="D117" s="25"/>
      <c r="E117" s="25"/>
      <c r="F117" s="25"/>
      <c r="G117" s="25"/>
      <c r="H117" s="25"/>
      <c r="I117" s="25"/>
      <c r="J117" s="25"/>
      <c r="K117" s="4"/>
      <c r="L117" s="25"/>
      <c r="M117" s="25"/>
      <c r="N117" s="4"/>
      <c r="O117" s="4"/>
    </row>
    <row r="118" spans="1:15" x14ac:dyDescent="0.2">
      <c r="A118" s="4"/>
      <c r="B118" s="4"/>
      <c r="C118" s="25"/>
      <c r="D118" s="25"/>
      <c r="E118" s="25"/>
      <c r="F118" s="25"/>
      <c r="G118" s="25"/>
      <c r="H118" s="25"/>
      <c r="I118" s="25"/>
      <c r="J118" s="25"/>
      <c r="K118" s="4"/>
      <c r="L118" s="25"/>
      <c r="M118" s="25"/>
      <c r="N118" s="4"/>
      <c r="O118" s="4"/>
    </row>
    <row r="119" spans="1:15" x14ac:dyDescent="0.2">
      <c r="A119" s="4"/>
      <c r="B119" s="4"/>
      <c r="C119" s="25"/>
      <c r="D119" s="25"/>
      <c r="E119" s="25"/>
      <c r="F119" s="25"/>
      <c r="G119" s="25"/>
      <c r="H119" s="25"/>
      <c r="I119" s="25"/>
      <c r="J119" s="25"/>
      <c r="K119" s="4"/>
      <c r="L119" s="25"/>
      <c r="M119" s="25"/>
      <c r="N119" s="4"/>
      <c r="O119" s="4"/>
    </row>
    <row r="120" spans="1:15" x14ac:dyDescent="0.2">
      <c r="A120" s="4"/>
      <c r="B120" s="4"/>
      <c r="C120" s="25"/>
      <c r="D120" s="25"/>
      <c r="E120" s="25"/>
      <c r="F120" s="25"/>
      <c r="G120" s="25"/>
      <c r="H120" s="25"/>
      <c r="I120" s="25"/>
      <c r="J120" s="25"/>
      <c r="K120" s="4"/>
      <c r="L120" s="25"/>
      <c r="M120" s="25"/>
      <c r="N120" s="4"/>
      <c r="O120" s="4"/>
    </row>
    <row r="121" spans="1:15" x14ac:dyDescent="0.2">
      <c r="A121" s="4"/>
      <c r="B121" s="4"/>
      <c r="C121" s="25"/>
      <c r="D121" s="25"/>
      <c r="E121" s="25"/>
      <c r="F121" s="25"/>
      <c r="G121" s="25"/>
      <c r="H121" s="25"/>
      <c r="I121" s="25"/>
      <c r="J121" s="25"/>
      <c r="K121" s="4"/>
      <c r="L121" s="25"/>
      <c r="M121" s="25"/>
      <c r="N121" s="4"/>
      <c r="O121" s="4"/>
    </row>
    <row r="122" spans="1:15" x14ac:dyDescent="0.2">
      <c r="A122" s="4"/>
      <c r="B122" s="4"/>
      <c r="C122" s="25"/>
      <c r="D122" s="25"/>
      <c r="E122" s="25"/>
      <c r="F122" s="25"/>
      <c r="G122" s="25"/>
      <c r="H122" s="25"/>
      <c r="I122" s="25"/>
      <c r="J122" s="25"/>
      <c r="K122" s="4"/>
      <c r="L122" s="25"/>
      <c r="M122" s="25"/>
      <c r="N122" s="4"/>
      <c r="O122" s="4"/>
    </row>
    <row r="123" spans="1:15" x14ac:dyDescent="0.2">
      <c r="A123" s="4"/>
      <c r="B123" s="4"/>
      <c r="C123" s="25"/>
      <c r="D123" s="25"/>
      <c r="E123" s="25"/>
      <c r="F123" s="25"/>
      <c r="G123" s="25"/>
      <c r="H123" s="25"/>
      <c r="I123" s="25"/>
      <c r="J123" s="25"/>
      <c r="K123" s="4"/>
      <c r="L123" s="25"/>
      <c r="M123" s="25"/>
      <c r="N123" s="4"/>
      <c r="O123" s="4"/>
    </row>
    <row r="124" spans="1:15" x14ac:dyDescent="0.2">
      <c r="A124" s="4"/>
      <c r="B124" s="4"/>
      <c r="C124" s="25"/>
      <c r="D124" s="25"/>
      <c r="E124" s="25"/>
      <c r="F124" s="25"/>
      <c r="G124" s="25"/>
      <c r="H124" s="25"/>
      <c r="I124" s="25"/>
      <c r="J124" s="25"/>
      <c r="K124" s="4"/>
      <c r="L124" s="25"/>
      <c r="M124" s="25"/>
      <c r="N124" s="4"/>
      <c r="O124" s="4"/>
    </row>
    <row r="125" spans="1:15" x14ac:dyDescent="0.2">
      <c r="A125" s="4"/>
      <c r="B125" s="4"/>
      <c r="C125" s="25"/>
      <c r="D125" s="25"/>
      <c r="E125" s="25"/>
      <c r="F125" s="25"/>
      <c r="G125" s="25"/>
      <c r="H125" s="25"/>
      <c r="I125" s="25"/>
      <c r="J125" s="25"/>
      <c r="K125" s="4"/>
      <c r="L125" s="25"/>
      <c r="M125" s="25"/>
      <c r="N125" s="4"/>
      <c r="O125" s="4"/>
    </row>
    <row r="126" spans="1:15" x14ac:dyDescent="0.2">
      <c r="A126" s="4"/>
      <c r="B126" s="4"/>
      <c r="C126" s="25"/>
      <c r="D126" s="25"/>
      <c r="E126" s="25"/>
      <c r="F126" s="25"/>
      <c r="G126" s="25"/>
      <c r="H126" s="25"/>
      <c r="I126" s="25"/>
      <c r="J126" s="25"/>
      <c r="K126" s="4"/>
      <c r="L126" s="25"/>
      <c r="M126" s="25"/>
      <c r="N126" s="4"/>
      <c r="O126" s="4"/>
    </row>
    <row r="127" spans="1:15" x14ac:dyDescent="0.2">
      <c r="A127" s="4"/>
      <c r="B127" s="4"/>
      <c r="C127" s="25"/>
      <c r="D127" s="25"/>
      <c r="E127" s="25"/>
      <c r="F127" s="25"/>
      <c r="G127" s="25"/>
      <c r="H127" s="25"/>
      <c r="I127" s="25"/>
      <c r="J127" s="25"/>
      <c r="K127" s="4"/>
      <c r="L127" s="25"/>
      <c r="M127" s="25"/>
      <c r="N127" s="4"/>
      <c r="O127" s="4"/>
    </row>
    <row r="128" spans="1:15" x14ac:dyDescent="0.2">
      <c r="A128" s="4"/>
      <c r="B128" s="4"/>
      <c r="C128" s="25"/>
      <c r="D128" s="25"/>
      <c r="E128" s="25"/>
      <c r="F128" s="25"/>
      <c r="G128" s="25"/>
      <c r="H128" s="25"/>
      <c r="I128" s="25"/>
      <c r="J128" s="25"/>
      <c r="K128" s="4"/>
      <c r="L128" s="25"/>
      <c r="M128" s="25"/>
      <c r="N128" s="4"/>
      <c r="O128" s="4"/>
    </row>
    <row r="129" spans="1:15" x14ac:dyDescent="0.2">
      <c r="A129" s="4"/>
      <c r="B129" s="4"/>
      <c r="C129" s="25"/>
      <c r="D129" s="25"/>
      <c r="E129" s="25"/>
      <c r="F129" s="25"/>
      <c r="G129" s="25"/>
      <c r="H129" s="25"/>
      <c r="I129" s="25"/>
      <c r="J129" s="25"/>
      <c r="K129" s="4"/>
      <c r="L129" s="25"/>
      <c r="M129" s="25"/>
      <c r="N129" s="4"/>
      <c r="O129" s="4"/>
    </row>
    <row r="130" spans="1:15" x14ac:dyDescent="0.2">
      <c r="A130" s="4"/>
      <c r="B130" s="4"/>
      <c r="C130" s="25"/>
      <c r="D130" s="25"/>
      <c r="E130" s="25"/>
      <c r="F130" s="25"/>
      <c r="G130" s="25"/>
      <c r="H130" s="25"/>
      <c r="I130" s="25"/>
      <c r="J130" s="25"/>
      <c r="K130" s="4"/>
      <c r="L130" s="25"/>
      <c r="M130" s="25"/>
      <c r="N130" s="4"/>
      <c r="O130" s="4"/>
    </row>
    <row r="131" spans="1:15" x14ac:dyDescent="0.2">
      <c r="A131" s="4"/>
      <c r="B131" s="4"/>
      <c r="C131" s="25"/>
      <c r="D131" s="25"/>
      <c r="E131" s="25"/>
      <c r="F131" s="25"/>
      <c r="G131" s="25"/>
      <c r="H131" s="25"/>
      <c r="I131" s="25"/>
      <c r="J131" s="25"/>
      <c r="K131" s="4"/>
      <c r="L131" s="25"/>
      <c r="M131" s="25"/>
      <c r="N131" s="4"/>
      <c r="O131" s="4"/>
    </row>
    <row r="132" spans="1:15" x14ac:dyDescent="0.2">
      <c r="A132" s="4"/>
      <c r="B132" s="4"/>
      <c r="C132" s="25"/>
      <c r="D132" s="25"/>
      <c r="E132" s="25"/>
      <c r="F132" s="25"/>
      <c r="G132" s="25"/>
      <c r="H132" s="25"/>
      <c r="I132" s="25"/>
      <c r="J132" s="25"/>
      <c r="K132" s="4"/>
      <c r="L132" s="25"/>
      <c r="M132" s="25"/>
      <c r="N132" s="4"/>
      <c r="O132" s="4"/>
    </row>
    <row r="133" spans="1:15" x14ac:dyDescent="0.2">
      <c r="A133" s="4"/>
      <c r="B133" s="4"/>
      <c r="C133" s="25"/>
      <c r="D133" s="25"/>
      <c r="E133" s="25"/>
      <c r="F133" s="25"/>
      <c r="G133" s="25"/>
      <c r="H133" s="25"/>
      <c r="I133" s="25"/>
      <c r="J133" s="25"/>
      <c r="K133" s="4"/>
      <c r="L133" s="25"/>
      <c r="M133" s="25"/>
      <c r="N133" s="4"/>
      <c r="O133" s="4"/>
    </row>
    <row r="134" spans="1:15" x14ac:dyDescent="0.2">
      <c r="A134" s="4"/>
      <c r="B134" s="4"/>
      <c r="C134" s="25"/>
      <c r="D134" s="25"/>
      <c r="E134" s="25"/>
      <c r="F134" s="25"/>
      <c r="G134" s="25"/>
      <c r="H134" s="25"/>
      <c r="I134" s="25"/>
      <c r="J134" s="25"/>
      <c r="K134" s="4"/>
      <c r="L134" s="25"/>
      <c r="M134" s="25"/>
      <c r="N134" s="4"/>
      <c r="O134" s="4"/>
    </row>
    <row r="135" spans="1:15" x14ac:dyDescent="0.2">
      <c r="A135" s="4"/>
      <c r="B135" s="4"/>
      <c r="C135" s="25"/>
      <c r="D135" s="25"/>
      <c r="E135" s="25"/>
      <c r="F135" s="25"/>
      <c r="G135" s="25"/>
      <c r="H135" s="25"/>
      <c r="I135" s="25"/>
      <c r="J135" s="25"/>
      <c r="K135" s="4"/>
      <c r="L135" s="25"/>
      <c r="M135" s="25"/>
      <c r="N135" s="4"/>
      <c r="O135" s="4"/>
    </row>
    <row r="136" spans="1:15" x14ac:dyDescent="0.2">
      <c r="A136" s="4"/>
      <c r="B136" s="4"/>
      <c r="C136" s="25"/>
      <c r="D136" s="25"/>
      <c r="E136" s="25"/>
      <c r="F136" s="25"/>
      <c r="G136" s="25"/>
      <c r="H136" s="25"/>
      <c r="I136" s="25"/>
      <c r="J136" s="25"/>
      <c r="K136" s="4"/>
      <c r="L136" s="25"/>
      <c r="M136" s="25"/>
      <c r="N136" s="4"/>
      <c r="O136" s="4"/>
    </row>
    <row r="137" spans="1:15" x14ac:dyDescent="0.2">
      <c r="A137" s="4"/>
      <c r="B137" s="4"/>
      <c r="C137" s="25"/>
      <c r="D137" s="25"/>
      <c r="E137" s="25"/>
      <c r="F137" s="25"/>
      <c r="G137" s="25"/>
      <c r="H137" s="25"/>
      <c r="I137" s="25"/>
      <c r="J137" s="25"/>
      <c r="K137" s="4"/>
      <c r="L137" s="25"/>
      <c r="M137" s="25"/>
      <c r="N137" s="4"/>
      <c r="O137" s="4"/>
    </row>
    <row r="138" spans="1:15" x14ac:dyDescent="0.2">
      <c r="A138" s="4"/>
      <c r="B138" s="4"/>
      <c r="C138" s="25"/>
      <c r="D138" s="25"/>
      <c r="E138" s="25"/>
      <c r="F138" s="25"/>
      <c r="G138" s="25"/>
      <c r="H138" s="25"/>
      <c r="I138" s="25"/>
      <c r="J138" s="25"/>
      <c r="K138" s="4"/>
      <c r="L138" s="25"/>
      <c r="M138" s="25"/>
      <c r="N138" s="4"/>
      <c r="O138" s="4"/>
    </row>
    <row r="139" spans="1:15" x14ac:dyDescent="0.2">
      <c r="A139" s="4"/>
      <c r="B139" s="4"/>
      <c r="C139" s="25"/>
      <c r="D139" s="25"/>
      <c r="E139" s="25"/>
      <c r="F139" s="25"/>
      <c r="G139" s="25"/>
      <c r="H139" s="25"/>
      <c r="I139" s="25"/>
      <c r="J139" s="25"/>
      <c r="K139" s="4"/>
      <c r="L139" s="25"/>
      <c r="M139" s="25"/>
      <c r="N139" s="4"/>
      <c r="O139" s="4"/>
    </row>
    <row r="140" spans="1:15" x14ac:dyDescent="0.2">
      <c r="A140" s="4"/>
      <c r="B140" s="4"/>
      <c r="C140" s="25"/>
      <c r="D140" s="25"/>
      <c r="E140" s="25"/>
      <c r="F140" s="25"/>
      <c r="G140" s="25"/>
      <c r="H140" s="25"/>
      <c r="I140" s="25"/>
      <c r="J140" s="25"/>
      <c r="K140" s="4"/>
      <c r="L140" s="25"/>
      <c r="M140" s="25"/>
      <c r="N140" s="4"/>
      <c r="O140" s="4"/>
    </row>
    <row r="141" spans="1:15" x14ac:dyDescent="0.2">
      <c r="A141" s="4"/>
      <c r="B141" s="4"/>
      <c r="C141" s="25"/>
      <c r="D141" s="25"/>
      <c r="E141" s="25"/>
      <c r="F141" s="25"/>
      <c r="G141" s="25"/>
      <c r="H141" s="25"/>
      <c r="I141" s="25"/>
      <c r="J141" s="25"/>
      <c r="K141" s="4"/>
      <c r="L141" s="25"/>
      <c r="M141" s="25"/>
      <c r="N141" s="4"/>
      <c r="O141" s="4"/>
    </row>
    <row r="142" spans="1:15" x14ac:dyDescent="0.2">
      <c r="A142" s="4"/>
      <c r="B142" s="4"/>
      <c r="C142" s="25"/>
      <c r="D142" s="25"/>
      <c r="E142" s="25"/>
      <c r="F142" s="25"/>
      <c r="G142" s="25"/>
      <c r="H142" s="25"/>
      <c r="I142" s="25"/>
      <c r="J142" s="25"/>
      <c r="K142" s="4"/>
      <c r="L142" s="25"/>
      <c r="M142" s="25"/>
      <c r="N142" s="4"/>
      <c r="O142" s="4"/>
    </row>
    <row r="143" spans="1:15" x14ac:dyDescent="0.2">
      <c r="A143" s="4"/>
      <c r="B143" s="4"/>
      <c r="C143" s="25"/>
      <c r="D143" s="25"/>
      <c r="E143" s="25"/>
      <c r="F143" s="25"/>
      <c r="G143" s="25"/>
      <c r="H143" s="25"/>
      <c r="I143" s="25"/>
      <c r="J143" s="25"/>
      <c r="K143" s="4"/>
      <c r="L143" s="25"/>
      <c r="M143" s="25"/>
      <c r="N143" s="4"/>
      <c r="O143" s="4"/>
    </row>
    <row r="144" spans="1:15" x14ac:dyDescent="0.2">
      <c r="A144" s="4"/>
      <c r="B144" s="4"/>
      <c r="C144" s="25"/>
      <c r="D144" s="25"/>
      <c r="E144" s="25"/>
      <c r="F144" s="25"/>
      <c r="G144" s="25"/>
      <c r="H144" s="25"/>
      <c r="I144" s="25"/>
      <c r="J144" s="25"/>
      <c r="K144" s="4"/>
      <c r="L144" s="25"/>
      <c r="M144" s="25"/>
      <c r="N144" s="4"/>
      <c r="O144" s="4"/>
    </row>
    <row r="145" spans="1:15" x14ac:dyDescent="0.2">
      <c r="A145" s="4"/>
      <c r="B145" s="4"/>
      <c r="C145" s="25"/>
      <c r="D145" s="25"/>
      <c r="E145" s="25"/>
      <c r="F145" s="25"/>
      <c r="G145" s="25"/>
      <c r="H145" s="25"/>
      <c r="I145" s="25"/>
      <c r="J145" s="25"/>
      <c r="K145" s="4"/>
      <c r="L145" s="25"/>
      <c r="M145" s="25"/>
      <c r="N145" s="4"/>
      <c r="O145" s="4"/>
    </row>
    <row r="146" spans="1:15" x14ac:dyDescent="0.2">
      <c r="A146" s="4"/>
      <c r="B146" s="4"/>
      <c r="C146" s="25"/>
      <c r="D146" s="25"/>
      <c r="E146" s="25"/>
      <c r="F146" s="25"/>
      <c r="G146" s="25"/>
      <c r="H146" s="25"/>
      <c r="I146" s="25"/>
      <c r="J146" s="25"/>
      <c r="K146" s="4"/>
      <c r="L146" s="25"/>
      <c r="M146" s="25"/>
      <c r="N146" s="4"/>
      <c r="O146" s="4"/>
    </row>
    <row r="147" spans="1:15" x14ac:dyDescent="0.2">
      <c r="A147" s="4"/>
      <c r="B147" s="4"/>
      <c r="C147" s="25"/>
      <c r="D147" s="25"/>
      <c r="E147" s="25"/>
      <c r="F147" s="25"/>
      <c r="G147" s="25"/>
      <c r="H147" s="25"/>
      <c r="I147" s="25"/>
      <c r="J147" s="25"/>
      <c r="K147" s="4"/>
      <c r="L147" s="25"/>
      <c r="M147" s="25"/>
      <c r="N147" s="4"/>
      <c r="O147" s="4"/>
    </row>
    <row r="148" spans="1:15" x14ac:dyDescent="0.2">
      <c r="A148" s="4"/>
      <c r="B148" s="4"/>
      <c r="C148" s="25"/>
      <c r="D148" s="25"/>
      <c r="E148" s="25"/>
      <c r="F148" s="25"/>
      <c r="G148" s="25"/>
      <c r="H148" s="25"/>
      <c r="I148" s="25"/>
      <c r="J148" s="25"/>
      <c r="K148" s="4"/>
      <c r="L148" s="25"/>
      <c r="M148" s="25"/>
      <c r="N148" s="4"/>
      <c r="O148" s="4"/>
    </row>
    <row r="149" spans="1:15" x14ac:dyDescent="0.2">
      <c r="A149" s="4"/>
      <c r="B149" s="4"/>
      <c r="C149" s="25"/>
      <c r="D149" s="25"/>
      <c r="E149" s="25"/>
      <c r="F149" s="25"/>
      <c r="G149" s="25"/>
      <c r="H149" s="25"/>
      <c r="I149" s="25"/>
      <c r="J149" s="25"/>
      <c r="K149" s="4"/>
      <c r="L149" s="25"/>
      <c r="M149" s="25"/>
      <c r="N149" s="4"/>
      <c r="O149" s="4"/>
    </row>
    <row r="150" spans="1:15" x14ac:dyDescent="0.2">
      <c r="A150" s="4"/>
      <c r="B150" s="4"/>
      <c r="C150" s="25"/>
      <c r="D150" s="25"/>
      <c r="E150" s="25"/>
      <c r="F150" s="25"/>
      <c r="G150" s="25"/>
      <c r="H150" s="25"/>
      <c r="I150" s="25"/>
      <c r="J150" s="25"/>
      <c r="K150" s="4"/>
      <c r="L150" s="25"/>
      <c r="M150" s="25"/>
      <c r="N150" s="4"/>
      <c r="O150" s="4"/>
    </row>
    <row r="151" spans="1:15" x14ac:dyDescent="0.2">
      <c r="A151" s="4"/>
      <c r="B151" s="4"/>
      <c r="C151" s="25"/>
      <c r="D151" s="25"/>
      <c r="E151" s="25"/>
      <c r="F151" s="25"/>
      <c r="G151" s="25"/>
      <c r="H151" s="25"/>
      <c r="I151" s="25"/>
      <c r="J151" s="25"/>
      <c r="K151" s="4"/>
      <c r="L151" s="25"/>
      <c r="M151" s="25"/>
      <c r="N151" s="4"/>
      <c r="O151" s="4"/>
    </row>
    <row r="152" spans="1:15" x14ac:dyDescent="0.2">
      <c r="A152" s="4"/>
      <c r="B152" s="4"/>
      <c r="C152" s="25"/>
      <c r="D152" s="25"/>
      <c r="E152" s="25"/>
      <c r="F152" s="25"/>
      <c r="G152" s="25"/>
      <c r="H152" s="25"/>
      <c r="I152" s="25"/>
      <c r="J152" s="25"/>
      <c r="K152" s="4"/>
      <c r="L152" s="25"/>
      <c r="M152" s="25"/>
      <c r="N152" s="4"/>
      <c r="O152" s="4"/>
    </row>
    <row r="153" spans="1:15" x14ac:dyDescent="0.2">
      <c r="A153" s="4"/>
      <c r="B153" s="4"/>
      <c r="C153" s="25"/>
      <c r="D153" s="25"/>
      <c r="E153" s="25"/>
      <c r="F153" s="25"/>
      <c r="G153" s="25"/>
      <c r="H153" s="25"/>
      <c r="I153" s="25"/>
      <c r="J153" s="25"/>
      <c r="K153" s="4"/>
      <c r="L153" s="25"/>
      <c r="M153" s="25"/>
      <c r="N153" s="4"/>
      <c r="O153" s="4"/>
    </row>
    <row r="154" spans="1:15" x14ac:dyDescent="0.2">
      <c r="A154" s="4"/>
      <c r="B154" s="4"/>
      <c r="C154" s="25"/>
      <c r="D154" s="25"/>
      <c r="E154" s="25"/>
      <c r="F154" s="25"/>
      <c r="G154" s="25"/>
      <c r="H154" s="25"/>
      <c r="I154" s="25"/>
      <c r="J154" s="25"/>
      <c r="K154" s="4"/>
      <c r="L154" s="25"/>
      <c r="M154" s="25"/>
      <c r="N154" s="4"/>
      <c r="O154" s="4"/>
    </row>
    <row r="155" spans="1:15" x14ac:dyDescent="0.2">
      <c r="A155" s="4"/>
      <c r="B155" s="4"/>
      <c r="C155" s="25"/>
      <c r="D155" s="25"/>
      <c r="E155" s="25"/>
      <c r="F155" s="25"/>
      <c r="G155" s="25"/>
      <c r="H155" s="25"/>
      <c r="I155" s="25"/>
      <c r="J155" s="25"/>
      <c r="K155" s="4"/>
      <c r="L155" s="25"/>
      <c r="M155" s="25"/>
      <c r="N155" s="4"/>
      <c r="O155" s="4"/>
    </row>
    <row r="156" spans="1:15" x14ac:dyDescent="0.2">
      <c r="A156" s="4"/>
      <c r="B156" s="4"/>
      <c r="C156" s="25"/>
      <c r="D156" s="25"/>
      <c r="E156" s="25"/>
      <c r="F156" s="25"/>
      <c r="G156" s="25"/>
      <c r="H156" s="25"/>
      <c r="I156" s="25"/>
      <c r="J156" s="25"/>
      <c r="K156" s="4"/>
      <c r="L156" s="25"/>
      <c r="M156" s="25"/>
      <c r="N156" s="4"/>
      <c r="O156" s="4"/>
    </row>
    <row r="157" spans="1:15" x14ac:dyDescent="0.2">
      <c r="A157" s="4"/>
      <c r="B157" s="4"/>
      <c r="C157" s="25"/>
      <c r="D157" s="25"/>
      <c r="E157" s="25"/>
      <c r="F157" s="25"/>
      <c r="G157" s="25"/>
      <c r="H157" s="25"/>
      <c r="I157" s="25"/>
      <c r="J157" s="25"/>
      <c r="K157" s="4"/>
      <c r="L157" s="25"/>
      <c r="M157" s="25"/>
      <c r="N157" s="4"/>
      <c r="O157" s="4"/>
    </row>
    <row r="158" spans="1:15" x14ac:dyDescent="0.2">
      <c r="A158" s="4"/>
      <c r="B158" s="4"/>
      <c r="C158" s="25"/>
      <c r="D158" s="25"/>
      <c r="E158" s="25"/>
      <c r="F158" s="25"/>
      <c r="G158" s="25"/>
      <c r="H158" s="25"/>
      <c r="I158" s="25"/>
      <c r="J158" s="25"/>
      <c r="K158" s="4"/>
      <c r="L158" s="25"/>
      <c r="M158" s="25"/>
      <c r="N158" s="4"/>
      <c r="O158" s="4"/>
    </row>
    <row r="159" spans="1:15" x14ac:dyDescent="0.2">
      <c r="A159" s="4"/>
      <c r="B159" s="4"/>
      <c r="C159" s="25"/>
      <c r="D159" s="25"/>
      <c r="E159" s="25"/>
      <c r="F159" s="25"/>
      <c r="G159" s="25"/>
      <c r="H159" s="25"/>
      <c r="I159" s="25"/>
      <c r="J159" s="25"/>
      <c r="K159" s="4"/>
      <c r="L159" s="25"/>
      <c r="M159" s="25"/>
      <c r="N159" s="4"/>
      <c r="O159" s="4"/>
    </row>
    <row r="160" spans="1:15" x14ac:dyDescent="0.2">
      <c r="A160" s="4"/>
      <c r="B160" s="4"/>
      <c r="C160" s="25"/>
      <c r="D160" s="25"/>
      <c r="E160" s="25"/>
      <c r="F160" s="25"/>
      <c r="G160" s="25"/>
      <c r="H160" s="25"/>
      <c r="I160" s="25"/>
      <c r="J160" s="25"/>
      <c r="K160" s="4"/>
      <c r="L160" s="25"/>
      <c r="M160" s="25"/>
      <c r="N160" s="4"/>
      <c r="O160" s="4"/>
    </row>
    <row r="161" spans="1:15" x14ac:dyDescent="0.2">
      <c r="A161" s="4"/>
      <c r="B161" s="4"/>
      <c r="C161" s="25"/>
      <c r="D161" s="25"/>
      <c r="E161" s="25"/>
      <c r="F161" s="25"/>
      <c r="G161" s="25"/>
      <c r="H161" s="25"/>
      <c r="I161" s="25"/>
      <c r="J161" s="25"/>
      <c r="K161" s="4"/>
      <c r="L161" s="25"/>
      <c r="M161" s="25"/>
      <c r="N161" s="4"/>
      <c r="O161" s="4"/>
    </row>
    <row r="162" spans="1:15" x14ac:dyDescent="0.2">
      <c r="A162" s="4"/>
      <c r="B162" s="4"/>
      <c r="C162" s="25"/>
      <c r="D162" s="25"/>
      <c r="E162" s="25"/>
      <c r="F162" s="25"/>
      <c r="G162" s="25"/>
      <c r="H162" s="25"/>
      <c r="I162" s="25"/>
      <c r="J162" s="25"/>
      <c r="K162" s="4"/>
      <c r="L162" s="25"/>
      <c r="M162" s="25"/>
      <c r="N162" s="4"/>
      <c r="O162" s="4"/>
    </row>
    <row r="163" spans="1:15" x14ac:dyDescent="0.2">
      <c r="A163" s="4"/>
      <c r="B163" s="4"/>
      <c r="C163" s="25"/>
      <c r="D163" s="25"/>
      <c r="E163" s="25"/>
      <c r="F163" s="25"/>
      <c r="G163" s="25"/>
      <c r="H163" s="25"/>
      <c r="I163" s="25"/>
      <c r="J163" s="25"/>
      <c r="K163" s="4"/>
      <c r="L163" s="25"/>
      <c r="M163" s="25"/>
      <c r="N163" s="4"/>
      <c r="O163" s="4"/>
    </row>
    <row r="164" spans="1:15" x14ac:dyDescent="0.2">
      <c r="A164" s="4"/>
      <c r="B164" s="4"/>
      <c r="C164" s="25"/>
      <c r="D164" s="25"/>
      <c r="E164" s="25"/>
      <c r="F164" s="25"/>
      <c r="G164" s="25"/>
      <c r="H164" s="25"/>
      <c r="I164" s="25"/>
      <c r="J164" s="25"/>
      <c r="K164" s="4"/>
      <c r="L164" s="25"/>
      <c r="M164" s="25"/>
      <c r="N164" s="4"/>
      <c r="O164" s="4"/>
    </row>
    <row r="165" spans="1:15" x14ac:dyDescent="0.2">
      <c r="A165" s="4"/>
      <c r="B165" s="4"/>
      <c r="C165" s="25"/>
      <c r="D165" s="25"/>
      <c r="E165" s="25"/>
      <c r="F165" s="25"/>
      <c r="G165" s="25"/>
      <c r="H165" s="25"/>
      <c r="I165" s="25"/>
      <c r="J165" s="25"/>
      <c r="K165" s="4"/>
      <c r="L165" s="25"/>
      <c r="M165" s="25"/>
      <c r="N165" s="4"/>
      <c r="O165" s="4"/>
    </row>
    <row r="166" spans="1:15" x14ac:dyDescent="0.2">
      <c r="A166" s="4"/>
      <c r="B166" s="4"/>
      <c r="C166" s="25"/>
      <c r="D166" s="25"/>
      <c r="E166" s="25"/>
      <c r="F166" s="25"/>
      <c r="G166" s="25"/>
      <c r="H166" s="25"/>
      <c r="I166" s="25"/>
      <c r="J166" s="25"/>
      <c r="K166" s="4"/>
      <c r="L166" s="25"/>
      <c r="M166" s="25"/>
      <c r="N166" s="4"/>
      <c r="O166" s="4"/>
    </row>
    <row r="167" spans="1:15" x14ac:dyDescent="0.2">
      <c r="A167" s="4"/>
      <c r="B167" s="4"/>
      <c r="C167" s="25"/>
      <c r="D167" s="25"/>
      <c r="E167" s="25"/>
      <c r="F167" s="25"/>
      <c r="G167" s="25"/>
      <c r="H167" s="25"/>
      <c r="I167" s="25"/>
      <c r="J167" s="25"/>
      <c r="K167" s="4"/>
      <c r="L167" s="25"/>
      <c r="M167" s="25"/>
      <c r="N167" s="4"/>
      <c r="O167" s="4"/>
    </row>
    <row r="168" spans="1:15" x14ac:dyDescent="0.2">
      <c r="A168" s="4"/>
      <c r="B168" s="4"/>
      <c r="C168" s="25"/>
      <c r="D168" s="25"/>
      <c r="E168" s="25"/>
      <c r="F168" s="25"/>
      <c r="G168" s="25"/>
      <c r="H168" s="25"/>
      <c r="I168" s="25"/>
      <c r="J168" s="25"/>
      <c r="K168" s="4"/>
      <c r="L168" s="25"/>
      <c r="M168" s="25"/>
      <c r="N168" s="4"/>
      <c r="O168" s="4"/>
    </row>
    <row r="169" spans="1:15" x14ac:dyDescent="0.2">
      <c r="A169" s="4"/>
      <c r="B169" s="4"/>
      <c r="C169" s="25"/>
      <c r="D169" s="25"/>
      <c r="E169" s="25"/>
      <c r="F169" s="25"/>
      <c r="G169" s="25"/>
      <c r="H169" s="25"/>
      <c r="I169" s="25"/>
      <c r="J169" s="25"/>
      <c r="K169" s="4"/>
      <c r="L169" s="25"/>
      <c r="M169" s="25"/>
      <c r="N169" s="4"/>
      <c r="O169" s="4"/>
    </row>
    <row r="170" spans="1:15" x14ac:dyDescent="0.2">
      <c r="A170" s="4"/>
      <c r="B170" s="4"/>
      <c r="C170" s="25"/>
      <c r="D170" s="25"/>
      <c r="E170" s="25"/>
      <c r="F170" s="25"/>
      <c r="G170" s="25"/>
      <c r="H170" s="25"/>
      <c r="I170" s="25"/>
      <c r="J170" s="25"/>
      <c r="K170" s="4"/>
      <c r="L170" s="25"/>
      <c r="M170" s="25"/>
      <c r="N170" s="4"/>
      <c r="O170" s="4"/>
    </row>
    <row r="171" spans="1:15" x14ac:dyDescent="0.2">
      <c r="A171" s="4"/>
      <c r="B171" s="4"/>
      <c r="C171" s="25"/>
      <c r="D171" s="25"/>
      <c r="E171" s="25"/>
      <c r="F171" s="25"/>
      <c r="G171" s="25"/>
      <c r="H171" s="25"/>
      <c r="I171" s="25"/>
      <c r="J171" s="25"/>
      <c r="K171" s="4"/>
      <c r="L171" s="25"/>
      <c r="M171" s="25"/>
      <c r="N171" s="4"/>
      <c r="O171" s="4"/>
    </row>
    <row r="172" spans="1:15" x14ac:dyDescent="0.2">
      <c r="A172" s="4"/>
      <c r="B172" s="4"/>
      <c r="C172" s="25"/>
      <c r="D172" s="25"/>
      <c r="E172" s="25"/>
      <c r="F172" s="25"/>
      <c r="G172" s="25"/>
      <c r="H172" s="25"/>
      <c r="I172" s="25"/>
      <c r="J172" s="25"/>
      <c r="K172" s="4"/>
      <c r="L172" s="25"/>
      <c r="M172" s="25"/>
      <c r="N172" s="4"/>
      <c r="O172" s="4"/>
    </row>
    <row r="173" spans="1:15" x14ac:dyDescent="0.2">
      <c r="A173" s="4"/>
      <c r="B173" s="4"/>
      <c r="C173" s="25"/>
      <c r="D173" s="25"/>
      <c r="E173" s="25"/>
      <c r="F173" s="25"/>
      <c r="G173" s="25"/>
      <c r="H173" s="25"/>
      <c r="I173" s="25"/>
      <c r="J173" s="25"/>
      <c r="K173" s="4"/>
      <c r="L173" s="25"/>
      <c r="M173" s="25"/>
      <c r="N173" s="4"/>
      <c r="O173" s="4"/>
    </row>
    <row r="174" spans="1:15" x14ac:dyDescent="0.2">
      <c r="C174" s="121"/>
    </row>
    <row r="175" spans="1:15" x14ac:dyDescent="0.2">
      <c r="C175" s="121"/>
    </row>
    <row r="176" spans="1:15" x14ac:dyDescent="0.2">
      <c r="C176" s="121"/>
    </row>
    <row r="177" spans="3:3" x14ac:dyDescent="0.2">
      <c r="C177" s="121"/>
    </row>
    <row r="178" spans="3:3" x14ac:dyDescent="0.2">
      <c r="C178" s="121"/>
    </row>
    <row r="179" spans="3:3" x14ac:dyDescent="0.2">
      <c r="C179" s="121"/>
    </row>
    <row r="180" spans="3:3" x14ac:dyDescent="0.2">
      <c r="C180" s="121"/>
    </row>
    <row r="181" spans="3:3" x14ac:dyDescent="0.2">
      <c r="C181" s="121"/>
    </row>
    <row r="182" spans="3:3" x14ac:dyDescent="0.2">
      <c r="C182" s="121"/>
    </row>
    <row r="183" spans="3:3" x14ac:dyDescent="0.2">
      <c r="C183" s="121"/>
    </row>
    <row r="184" spans="3:3" x14ac:dyDescent="0.2">
      <c r="C184" s="121"/>
    </row>
    <row r="185" spans="3:3" x14ac:dyDescent="0.2">
      <c r="C185" s="121"/>
    </row>
    <row r="186" spans="3:3" x14ac:dyDescent="0.2">
      <c r="C186" s="121"/>
    </row>
    <row r="187" spans="3:3" x14ac:dyDescent="0.2">
      <c r="C187" s="121"/>
    </row>
    <row r="188" spans="3:3" x14ac:dyDescent="0.2">
      <c r="C188" s="121"/>
    </row>
    <row r="189" spans="3:3" x14ac:dyDescent="0.2">
      <c r="C189" s="121"/>
    </row>
    <row r="190" spans="3:3" x14ac:dyDescent="0.2">
      <c r="C190" s="121"/>
    </row>
    <row r="191" spans="3:3" x14ac:dyDescent="0.2">
      <c r="C191" s="121"/>
    </row>
    <row r="192" spans="3:3" x14ac:dyDescent="0.2">
      <c r="C192" s="121"/>
    </row>
    <row r="193" spans="3:3" x14ac:dyDescent="0.2">
      <c r="C193" s="121"/>
    </row>
    <row r="194" spans="3:3" x14ac:dyDescent="0.2">
      <c r="C194" s="121"/>
    </row>
    <row r="195" spans="3:3" x14ac:dyDescent="0.2">
      <c r="C195" s="121"/>
    </row>
    <row r="196" spans="3:3" x14ac:dyDescent="0.2">
      <c r="C196" s="121"/>
    </row>
    <row r="197" spans="3:3" x14ac:dyDescent="0.2">
      <c r="C197" s="121"/>
    </row>
    <row r="198" spans="3:3" x14ac:dyDescent="0.2">
      <c r="C198" s="121"/>
    </row>
    <row r="199" spans="3:3" x14ac:dyDescent="0.2">
      <c r="C199" s="121"/>
    </row>
    <row r="200" spans="3:3" x14ac:dyDescent="0.2">
      <c r="C200" s="121"/>
    </row>
    <row r="201" spans="3:3" x14ac:dyDescent="0.2">
      <c r="C201" s="121"/>
    </row>
    <row r="202" spans="3:3" x14ac:dyDescent="0.2">
      <c r="C202" s="121"/>
    </row>
    <row r="203" spans="3:3" x14ac:dyDescent="0.2">
      <c r="C203" s="121"/>
    </row>
    <row r="204" spans="3:3" x14ac:dyDescent="0.2">
      <c r="C204" s="121"/>
    </row>
    <row r="205" spans="3:3" x14ac:dyDescent="0.2">
      <c r="C205" s="121"/>
    </row>
    <row r="206" spans="3:3" x14ac:dyDescent="0.2">
      <c r="C206" s="121"/>
    </row>
    <row r="207" spans="3:3" x14ac:dyDescent="0.2">
      <c r="C207" s="121"/>
    </row>
    <row r="208" spans="3:3" x14ac:dyDescent="0.2">
      <c r="C208" s="121"/>
    </row>
    <row r="209" spans="3:3" x14ac:dyDescent="0.2">
      <c r="C209" s="121"/>
    </row>
    <row r="210" spans="3:3" x14ac:dyDescent="0.2">
      <c r="C210" s="121"/>
    </row>
    <row r="211" spans="3:3" x14ac:dyDescent="0.2">
      <c r="C211" s="121"/>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2" orientation="landscape" horizontalDpi="300" verticalDpi="300" r:id="rId1"/>
  <headerFooter alignWithMargins="0">
    <oddFooter>&amp;L&amp;D     &amp;T&amp;C &amp;F&amp;R&amp;A</oddFooter>
  </headerFooter>
  <rowBreaks count="1" manualBreakCount="1">
    <brk id="32"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1"/>
  <sheetViews>
    <sheetView zoomScale="85" zoomScaleNormal="85" workbookViewId="0">
      <pane ySplit="7" topLeftCell="A43" activePane="bottomLeft" state="frozen"/>
      <selection activeCell="K15" sqref="K15"/>
      <selection pane="bottomLeft" activeCell="J48" sqref="J48"/>
    </sheetView>
  </sheetViews>
  <sheetFormatPr defaultRowHeight="12.75" x14ac:dyDescent="0.2"/>
  <cols>
    <col min="1" max="1" width="12.33203125" customWidth="1"/>
    <col min="2" max="2" width="36.6640625" customWidth="1"/>
    <col min="3" max="3" width="14.5" style="1" hidden="1" customWidth="1"/>
    <col min="4" max="7" width="14.5" style="121" hidden="1" customWidth="1"/>
    <col min="8" max="10" width="14.5" style="121" customWidth="1"/>
    <col min="11" max="11" width="14.5" customWidth="1"/>
    <col min="12" max="14" width="14.5" style="1" customWidth="1"/>
    <col min="15" max="15" width="14.5" customWidth="1"/>
    <col min="16" max="16" width="12" bestFit="1" customWidth="1"/>
  </cols>
  <sheetData>
    <row r="1" spans="1:15" x14ac:dyDescent="0.2">
      <c r="A1" s="410" t="s">
        <v>1013</v>
      </c>
      <c r="B1" s="410" t="s">
        <v>1418</v>
      </c>
      <c r="N1" s="144"/>
      <c r="O1" s="101"/>
    </row>
    <row r="2" spans="1:15" ht="15" x14ac:dyDescent="0.25">
      <c r="A2" s="49" t="s">
        <v>254</v>
      </c>
      <c r="B2" s="49"/>
      <c r="E2" s="153"/>
      <c r="H2" s="153" t="s">
        <v>252</v>
      </c>
      <c r="I2" s="153"/>
      <c r="J2" s="153"/>
      <c r="K2" s="67" t="s">
        <v>278</v>
      </c>
      <c r="M2" s="50" t="s">
        <v>473</v>
      </c>
    </row>
    <row r="3" spans="1:15" ht="13.5" thickBot="1" x14ac:dyDescent="0.25">
      <c r="A3" s="4"/>
      <c r="B3" s="4"/>
      <c r="C3" s="25"/>
      <c r="D3" s="25"/>
      <c r="E3" s="25"/>
      <c r="F3" s="25"/>
      <c r="G3" s="25"/>
      <c r="H3" s="25"/>
      <c r="I3" s="25"/>
      <c r="J3" s="25"/>
      <c r="K3" s="4"/>
      <c r="L3" s="25"/>
      <c r="M3" s="4"/>
      <c r="N3" s="4"/>
    </row>
    <row r="4" spans="1:15"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5" ht="12.75" customHeight="1" x14ac:dyDescent="0.2">
      <c r="A5" s="93"/>
      <c r="B5" s="216"/>
      <c r="C5" s="137"/>
      <c r="D5" s="94"/>
      <c r="E5" s="120"/>
      <c r="F5" s="94"/>
      <c r="G5" s="94"/>
      <c r="H5" s="120"/>
      <c r="I5" s="318"/>
      <c r="J5" s="318"/>
      <c r="K5" s="120" t="s">
        <v>509</v>
      </c>
      <c r="L5" s="95" t="s">
        <v>7</v>
      </c>
      <c r="M5" s="209" t="s">
        <v>783</v>
      </c>
    </row>
    <row r="6" spans="1:15" ht="12.75" customHeight="1" x14ac:dyDescent="0.2">
      <c r="A6" s="93"/>
      <c r="B6" s="216"/>
      <c r="C6" s="137"/>
      <c r="D6" s="137"/>
      <c r="E6" s="137"/>
      <c r="F6" s="137"/>
      <c r="G6" s="137"/>
      <c r="H6" s="137"/>
      <c r="I6" s="95"/>
      <c r="J6" s="95"/>
      <c r="K6" s="137"/>
      <c r="L6" s="95" t="s">
        <v>8</v>
      </c>
      <c r="M6" s="51" t="s">
        <v>537</v>
      </c>
    </row>
    <row r="7" spans="1:15"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5" ht="13.5" thickTop="1" x14ac:dyDescent="0.2">
      <c r="A8" s="30">
        <v>5111</v>
      </c>
      <c r="B8" s="218" t="s">
        <v>684</v>
      </c>
      <c r="C8" s="142">
        <v>105657.64</v>
      </c>
      <c r="D8" s="19">
        <v>117593.25</v>
      </c>
      <c r="E8" s="19">
        <v>109813.74</v>
      </c>
      <c r="F8" s="19">
        <v>119779.13</v>
      </c>
      <c r="G8" s="19">
        <v>130150.2</v>
      </c>
      <c r="H8" s="19">
        <v>135093.79999999999</v>
      </c>
      <c r="I8" s="19">
        <v>140705.20000000001</v>
      </c>
      <c r="J8" s="20">
        <f>1454+144424</f>
        <v>145878</v>
      </c>
      <c r="K8" s="19">
        <v>69481</v>
      </c>
      <c r="L8" s="134">
        <f>ROUND((+K49),0)+1</f>
        <v>150622</v>
      </c>
      <c r="M8" s="147"/>
    </row>
    <row r="9" spans="1:15" x14ac:dyDescent="0.2">
      <c r="A9" s="12">
        <v>5115</v>
      </c>
      <c r="B9" s="69" t="s">
        <v>557</v>
      </c>
      <c r="C9" s="142">
        <v>1000</v>
      </c>
      <c r="D9" s="19">
        <v>1500</v>
      </c>
      <c r="E9" s="19">
        <v>1500</v>
      </c>
      <c r="F9" s="19">
        <v>1500</v>
      </c>
      <c r="G9" s="19">
        <v>1500</v>
      </c>
      <c r="H9" s="19">
        <v>1500</v>
      </c>
      <c r="I9" s="19">
        <v>1500</v>
      </c>
      <c r="J9" s="20">
        <v>1765</v>
      </c>
      <c r="K9" s="19">
        <v>882.5</v>
      </c>
      <c r="L9" s="20">
        <v>1765</v>
      </c>
      <c r="M9" s="15"/>
    </row>
    <row r="10" spans="1:15" x14ac:dyDescent="0.2">
      <c r="A10" s="12">
        <v>5115</v>
      </c>
      <c r="B10" s="69" t="s">
        <v>525</v>
      </c>
      <c r="C10" s="140">
        <v>1000</v>
      </c>
      <c r="D10" s="14">
        <v>1500</v>
      </c>
      <c r="E10" s="14">
        <v>1500</v>
      </c>
      <c r="F10" s="14">
        <v>1500</v>
      </c>
      <c r="G10" s="14">
        <v>1500</v>
      </c>
      <c r="H10" s="14">
        <v>1500</v>
      </c>
      <c r="I10" s="14">
        <v>1500</v>
      </c>
      <c r="J10" s="15">
        <v>1605</v>
      </c>
      <c r="K10" s="14">
        <v>802.49</v>
      </c>
      <c r="L10" s="15">
        <v>1605</v>
      </c>
      <c r="M10" s="15"/>
    </row>
    <row r="11" spans="1:15" x14ac:dyDescent="0.2">
      <c r="A11" s="12">
        <v>5115</v>
      </c>
      <c r="B11" s="69" t="s">
        <v>526</v>
      </c>
      <c r="C11" s="140">
        <v>1000</v>
      </c>
      <c r="D11" s="14">
        <v>1500</v>
      </c>
      <c r="E11" s="14">
        <v>1500</v>
      </c>
      <c r="F11" s="14">
        <f>1500-125</f>
        <v>1375</v>
      </c>
      <c r="G11" s="14">
        <v>1500</v>
      </c>
      <c r="H11" s="14">
        <v>1500</v>
      </c>
      <c r="I11" s="14">
        <v>1500</v>
      </c>
      <c r="J11" s="15">
        <v>1605</v>
      </c>
      <c r="K11" s="14">
        <v>802.49</v>
      </c>
      <c r="L11" s="15">
        <v>1605</v>
      </c>
      <c r="M11" s="15"/>
    </row>
    <row r="12" spans="1:15" hidden="1" x14ac:dyDescent="0.2">
      <c r="A12" s="12">
        <v>5124</v>
      </c>
      <c r="B12" s="69" t="s">
        <v>735</v>
      </c>
      <c r="C12" s="263">
        <v>3759.75</v>
      </c>
      <c r="D12" s="39"/>
      <c r="E12" s="39">
        <v>10668.63</v>
      </c>
      <c r="F12" s="39">
        <v>6926.31</v>
      </c>
      <c r="G12" s="39"/>
      <c r="H12" s="39"/>
      <c r="I12" s="39"/>
      <c r="J12" s="40"/>
      <c r="K12" s="39"/>
      <c r="L12" s="40"/>
      <c r="M12" s="40"/>
    </row>
    <row r="13" spans="1:15" ht="13.5" thickBot="1" x14ac:dyDescent="0.25">
      <c r="A13" s="12">
        <v>5144</v>
      </c>
      <c r="B13" s="69" t="s">
        <v>152</v>
      </c>
      <c r="C13" s="263">
        <v>150</v>
      </c>
      <c r="D13" s="39"/>
      <c r="E13" s="39"/>
      <c r="F13" s="16">
        <v>150</v>
      </c>
      <c r="G13" s="16">
        <v>500</v>
      </c>
      <c r="H13" s="16">
        <v>800</v>
      </c>
      <c r="I13" s="16">
        <v>800</v>
      </c>
      <c r="J13" s="17">
        <v>800</v>
      </c>
      <c r="K13" s="16">
        <v>500</v>
      </c>
      <c r="L13" s="17">
        <f>+N50</f>
        <v>1400</v>
      </c>
      <c r="M13" s="17"/>
    </row>
    <row r="14" spans="1:15" hidden="1" x14ac:dyDescent="0.2">
      <c r="A14" s="12">
        <v>5193</v>
      </c>
      <c r="B14" s="69" t="s">
        <v>695</v>
      </c>
      <c r="C14" s="263">
        <v>3000</v>
      </c>
      <c r="D14" s="39"/>
      <c r="E14" s="39"/>
      <c r="F14" s="32"/>
      <c r="G14" s="32"/>
      <c r="H14" s="32"/>
      <c r="I14" s="32"/>
      <c r="J14" s="33"/>
      <c r="K14" s="32"/>
      <c r="L14" s="33"/>
      <c r="M14" s="33"/>
    </row>
    <row r="15" spans="1:15" ht="13.5" hidden="1" thickBot="1" x14ac:dyDescent="0.25">
      <c r="A15" s="12">
        <v>5194</v>
      </c>
      <c r="B15" s="69" t="s">
        <v>221</v>
      </c>
      <c r="C15" s="141">
        <v>2500</v>
      </c>
      <c r="D15" s="16"/>
      <c r="E15" s="16"/>
      <c r="F15" s="16"/>
      <c r="G15" s="16"/>
      <c r="H15" s="16"/>
      <c r="I15" s="16"/>
      <c r="J15" s="17"/>
      <c r="K15" s="16"/>
      <c r="L15" s="17"/>
      <c r="M15" s="17"/>
    </row>
    <row r="16" spans="1:15" x14ac:dyDescent="0.2">
      <c r="A16" s="12"/>
      <c r="B16" s="70" t="s">
        <v>125</v>
      </c>
      <c r="C16" s="142">
        <f t="shared" ref="C16:H16" si="0">SUM(C8:C15)</f>
        <v>118067.39</v>
      </c>
      <c r="D16" s="19">
        <f t="shared" si="0"/>
        <v>122093.25</v>
      </c>
      <c r="E16" s="19">
        <f t="shared" si="0"/>
        <v>124982.37000000001</v>
      </c>
      <c r="F16" s="19">
        <f t="shared" si="0"/>
        <v>131230.44</v>
      </c>
      <c r="G16" s="19">
        <f t="shared" si="0"/>
        <v>135150.20000000001</v>
      </c>
      <c r="H16" s="19">
        <f t="shared" si="0"/>
        <v>140393.79999999999</v>
      </c>
      <c r="I16" s="19">
        <f>SUM(I8:I13)</f>
        <v>146005.20000000001</v>
      </c>
      <c r="J16" s="20">
        <f>SUM(J8:J13)</f>
        <v>151653</v>
      </c>
      <c r="K16" s="19">
        <f>SUM(K8:K15)</f>
        <v>72468.48000000001</v>
      </c>
      <c r="L16" s="20">
        <f>SUM(L8:L13)</f>
        <v>156997</v>
      </c>
      <c r="M16" s="20"/>
    </row>
    <row r="17" spans="1:13" x14ac:dyDescent="0.2">
      <c r="A17" s="12"/>
      <c r="B17" s="69"/>
      <c r="C17" s="140"/>
      <c r="D17" s="14"/>
      <c r="E17" s="14"/>
      <c r="F17" s="14"/>
      <c r="G17" s="14"/>
      <c r="H17" s="14"/>
      <c r="I17" s="14"/>
      <c r="J17" s="15"/>
      <c r="K17" s="14"/>
      <c r="L17" s="15"/>
      <c r="M17" s="15"/>
    </row>
    <row r="18" spans="1:13" x14ac:dyDescent="0.2">
      <c r="A18" s="12">
        <v>5248</v>
      </c>
      <c r="B18" s="69" t="s">
        <v>133</v>
      </c>
      <c r="C18" s="140"/>
      <c r="D18" s="14">
        <v>180.98</v>
      </c>
      <c r="E18" s="14">
        <v>152.24</v>
      </c>
      <c r="F18" s="14">
        <v>300</v>
      </c>
      <c r="G18" s="14"/>
      <c r="H18" s="14"/>
      <c r="I18" s="156">
        <v>0</v>
      </c>
      <c r="J18" s="132">
        <v>600</v>
      </c>
      <c r="K18" s="14"/>
      <c r="L18" s="132">
        <v>600</v>
      </c>
      <c r="M18" s="132"/>
    </row>
    <row r="19" spans="1:13" x14ac:dyDescent="0.2">
      <c r="A19" s="12">
        <v>5302</v>
      </c>
      <c r="B19" s="13" t="s">
        <v>146</v>
      </c>
      <c r="C19" s="14">
        <v>391</v>
      </c>
      <c r="D19" s="14">
        <v>1202.5</v>
      </c>
      <c r="E19" s="14">
        <v>630</v>
      </c>
      <c r="F19" s="14"/>
      <c r="G19" s="14">
        <v>5159.54</v>
      </c>
      <c r="H19" s="14">
        <v>9350.2000000000007</v>
      </c>
      <c r="I19" s="156">
        <v>130</v>
      </c>
      <c r="J19" s="132">
        <v>10500</v>
      </c>
      <c r="K19" s="14">
        <v>110.45</v>
      </c>
      <c r="L19" s="132">
        <v>10500</v>
      </c>
      <c r="M19" s="132"/>
    </row>
    <row r="20" spans="1:13" x14ac:dyDescent="0.2">
      <c r="A20" s="12">
        <v>5305</v>
      </c>
      <c r="B20" s="13" t="s">
        <v>143</v>
      </c>
      <c r="C20" s="14"/>
      <c r="D20" s="14">
        <v>0</v>
      </c>
      <c r="E20" s="14">
        <v>178.01</v>
      </c>
      <c r="F20" s="14">
        <v>354.12</v>
      </c>
      <c r="G20" s="14">
        <v>211.78</v>
      </c>
      <c r="H20" s="14">
        <v>200.08</v>
      </c>
      <c r="I20" s="156">
        <v>181.46</v>
      </c>
      <c r="J20" s="132">
        <v>350</v>
      </c>
      <c r="K20" s="14"/>
      <c r="L20" s="132">
        <v>350</v>
      </c>
      <c r="M20" s="132"/>
    </row>
    <row r="21" spans="1:13" x14ac:dyDescent="0.2">
      <c r="A21" s="12">
        <v>5306</v>
      </c>
      <c r="B21" s="13" t="s">
        <v>21</v>
      </c>
      <c r="C21" s="14">
        <f>2000+4725</f>
        <v>6725</v>
      </c>
      <c r="D21" s="14">
        <f>2000+4955</f>
        <v>6955</v>
      </c>
      <c r="E21" s="14">
        <f>2000+4955</f>
        <v>6955</v>
      </c>
      <c r="F21" s="14">
        <v>4955</v>
      </c>
      <c r="G21" s="14">
        <v>7200</v>
      </c>
      <c r="H21" s="14">
        <v>7460</v>
      </c>
      <c r="I21" s="156">
        <v>7760</v>
      </c>
      <c r="J21" s="132">
        <v>7800</v>
      </c>
      <c r="K21" s="14">
        <v>8060</v>
      </c>
      <c r="L21" s="132">
        <v>8050</v>
      </c>
      <c r="M21" s="132"/>
    </row>
    <row r="22" spans="1:13" x14ac:dyDescent="0.2">
      <c r="A22" s="12">
        <v>5307</v>
      </c>
      <c r="B22" s="13" t="s">
        <v>867</v>
      </c>
      <c r="C22" s="14"/>
      <c r="D22" s="14"/>
      <c r="E22" s="14"/>
      <c r="F22" s="14">
        <v>1808</v>
      </c>
      <c r="G22" s="14">
        <v>1808</v>
      </c>
      <c r="H22" s="14">
        <v>1808</v>
      </c>
      <c r="I22" s="156">
        <v>1888</v>
      </c>
      <c r="J22" s="132">
        <v>1900</v>
      </c>
      <c r="K22" s="14">
        <v>600</v>
      </c>
      <c r="L22" s="132">
        <v>1900</v>
      </c>
      <c r="M22" s="132"/>
    </row>
    <row r="23" spans="1:13" x14ac:dyDescent="0.2">
      <c r="A23" s="12">
        <v>5308</v>
      </c>
      <c r="B23" s="13" t="s">
        <v>602</v>
      </c>
      <c r="C23" s="14">
        <f>2000+4900</f>
        <v>6900</v>
      </c>
      <c r="D23" s="14">
        <v>6900</v>
      </c>
      <c r="E23" s="14">
        <v>6900</v>
      </c>
      <c r="F23" s="14">
        <f>4900+2000</f>
        <v>6900</v>
      </c>
      <c r="G23" s="14">
        <v>6090</v>
      </c>
      <c r="H23" s="14">
        <v>4900</v>
      </c>
      <c r="I23" s="156">
        <v>4900</v>
      </c>
      <c r="J23" s="132">
        <v>5350</v>
      </c>
      <c r="K23" s="14">
        <v>4945</v>
      </c>
      <c r="L23" s="132">
        <v>5500</v>
      </c>
      <c r="M23" s="132"/>
    </row>
    <row r="24" spans="1:13" x14ac:dyDescent="0.2">
      <c r="A24" s="12">
        <v>5311</v>
      </c>
      <c r="B24" s="13" t="s">
        <v>147</v>
      </c>
      <c r="C24" s="14">
        <v>86</v>
      </c>
      <c r="D24" s="14">
        <v>94</v>
      </c>
      <c r="E24" s="14">
        <v>17</v>
      </c>
      <c r="F24" s="14">
        <v>9</v>
      </c>
      <c r="G24" s="14">
        <v>83</v>
      </c>
      <c r="H24" s="14">
        <v>14</v>
      </c>
      <c r="I24" s="156">
        <v>7</v>
      </c>
      <c r="J24" s="132">
        <v>50</v>
      </c>
      <c r="K24" s="14"/>
      <c r="L24" s="132">
        <v>150</v>
      </c>
      <c r="M24" s="132"/>
    </row>
    <row r="25" spans="1:13" x14ac:dyDescent="0.2">
      <c r="A25" s="12">
        <v>5314</v>
      </c>
      <c r="B25" s="13" t="s">
        <v>134</v>
      </c>
      <c r="C25" s="14">
        <v>2071</v>
      </c>
      <c r="D25" s="14">
        <v>1328.75</v>
      </c>
      <c r="E25" s="14">
        <v>724.97</v>
      </c>
      <c r="F25" s="14">
        <v>754.1</v>
      </c>
      <c r="G25" s="14">
        <v>1927.05</v>
      </c>
      <c r="H25" s="14">
        <v>1198.5999999999999</v>
      </c>
      <c r="I25" s="156">
        <v>1610.75</v>
      </c>
      <c r="J25" s="132">
        <v>2200</v>
      </c>
      <c r="K25" s="14">
        <v>762.25</v>
      </c>
      <c r="L25" s="132">
        <v>2200</v>
      </c>
      <c r="M25" s="132"/>
    </row>
    <row r="26" spans="1:13" hidden="1" x14ac:dyDescent="0.2">
      <c r="A26" s="12">
        <v>5315</v>
      </c>
      <c r="B26" s="13" t="s">
        <v>135</v>
      </c>
      <c r="C26" s="14">
        <v>2356.9</v>
      </c>
      <c r="D26" s="14"/>
      <c r="E26" s="14"/>
      <c r="F26" s="14"/>
      <c r="G26" s="14"/>
      <c r="H26" s="14"/>
      <c r="I26" s="156"/>
      <c r="J26" s="132"/>
      <c r="K26" s="14"/>
      <c r="L26" s="132"/>
      <c r="M26" s="132"/>
    </row>
    <row r="27" spans="1:13" hidden="1" x14ac:dyDescent="0.2">
      <c r="A27" s="12">
        <v>5341</v>
      </c>
      <c r="B27" s="13" t="s">
        <v>136</v>
      </c>
      <c r="C27" s="14">
        <v>537.27</v>
      </c>
      <c r="D27" s="14">
        <v>473.76</v>
      </c>
      <c r="E27" s="14">
        <v>473.24</v>
      </c>
      <c r="F27" s="14">
        <v>503.56</v>
      </c>
      <c r="G27" s="14">
        <v>569.35</v>
      </c>
      <c r="H27" s="14"/>
      <c r="I27" s="156"/>
      <c r="J27" s="132"/>
      <c r="K27" s="14"/>
      <c r="L27" s="132"/>
      <c r="M27" s="132"/>
    </row>
    <row r="28" spans="1:13" x14ac:dyDescent="0.2">
      <c r="A28" s="12">
        <v>5344</v>
      </c>
      <c r="B28" s="13" t="s">
        <v>137</v>
      </c>
      <c r="C28" s="14">
        <v>759.81</v>
      </c>
      <c r="D28" s="14">
        <v>509.12</v>
      </c>
      <c r="E28" s="14">
        <v>515.99</v>
      </c>
      <c r="F28" s="14">
        <v>760.05</v>
      </c>
      <c r="G28" s="14">
        <v>606.5</v>
      </c>
      <c r="H28" s="14">
        <v>958.18</v>
      </c>
      <c r="I28" s="156">
        <v>840.86</v>
      </c>
      <c r="J28" s="132">
        <v>900</v>
      </c>
      <c r="K28" s="14">
        <v>8.3000000000000007</v>
      </c>
      <c r="L28" s="132">
        <v>900</v>
      </c>
      <c r="M28" s="132"/>
    </row>
    <row r="29" spans="1:13" x14ac:dyDescent="0.2">
      <c r="A29" s="12">
        <v>5345</v>
      </c>
      <c r="B29" s="13" t="s">
        <v>138</v>
      </c>
      <c r="C29" s="19">
        <v>178.85</v>
      </c>
      <c r="D29" s="19"/>
      <c r="E29" s="19">
        <v>6257.19</v>
      </c>
      <c r="F29" s="19">
        <v>59.14</v>
      </c>
      <c r="G29" s="19">
        <v>109.09</v>
      </c>
      <c r="H29" s="19">
        <v>93.64</v>
      </c>
      <c r="I29" s="136">
        <v>231.47</v>
      </c>
      <c r="J29" s="134">
        <v>150</v>
      </c>
      <c r="K29" s="19">
        <v>101.56</v>
      </c>
      <c r="L29" s="134">
        <v>150</v>
      </c>
      <c r="M29" s="134"/>
    </row>
    <row r="30" spans="1:13" x14ac:dyDescent="0.2">
      <c r="A30" s="12">
        <v>5350</v>
      </c>
      <c r="B30" s="13" t="s">
        <v>1254</v>
      </c>
      <c r="C30" s="19"/>
      <c r="D30" s="19"/>
      <c r="E30" s="19"/>
      <c r="F30" s="19"/>
      <c r="G30" s="19"/>
      <c r="H30" s="19"/>
      <c r="I30" s="136"/>
      <c r="J30" s="134">
        <v>1500</v>
      </c>
      <c r="K30" s="19">
        <v>1500</v>
      </c>
      <c r="L30" s="134">
        <v>1500</v>
      </c>
      <c r="M30" s="134"/>
    </row>
    <row r="31" spans="1:13" x14ac:dyDescent="0.2">
      <c r="A31" s="12">
        <v>5380</v>
      </c>
      <c r="B31" s="13" t="s">
        <v>535</v>
      </c>
      <c r="C31" s="14"/>
      <c r="D31" s="14">
        <v>906.15</v>
      </c>
      <c r="E31" s="14">
        <v>1125.5</v>
      </c>
      <c r="F31" s="14">
        <v>2127.7199999999998</v>
      </c>
      <c r="G31" s="14">
        <v>349.2</v>
      </c>
      <c r="H31" s="14">
        <v>278.37</v>
      </c>
      <c r="I31" s="156">
        <v>3875.16</v>
      </c>
      <c r="J31" s="132">
        <v>2600</v>
      </c>
      <c r="K31" s="14">
        <v>3500</v>
      </c>
      <c r="L31" s="132">
        <v>2800</v>
      </c>
      <c r="M31" s="132"/>
    </row>
    <row r="32" spans="1:13" x14ac:dyDescent="0.2">
      <c r="A32" s="12">
        <v>5420</v>
      </c>
      <c r="B32" s="13" t="s">
        <v>139</v>
      </c>
      <c r="C32" s="19">
        <v>1160.76</v>
      </c>
      <c r="D32" s="19">
        <v>1173.71</v>
      </c>
      <c r="E32" s="19">
        <v>1294.46</v>
      </c>
      <c r="F32" s="19">
        <v>2323.9499999999998</v>
      </c>
      <c r="G32" s="19">
        <v>1624.24</v>
      </c>
      <c r="H32" s="19">
        <v>1639.75</v>
      </c>
      <c r="I32" s="136">
        <v>1112.48</v>
      </c>
      <c r="J32" s="134">
        <v>1000</v>
      </c>
      <c r="K32" s="19">
        <v>1092.21</v>
      </c>
      <c r="L32" s="134">
        <v>1000</v>
      </c>
      <c r="M32" s="134"/>
    </row>
    <row r="33" spans="1:15" x14ac:dyDescent="0.2">
      <c r="A33" s="12">
        <v>5581</v>
      </c>
      <c r="B33" s="13" t="s">
        <v>141</v>
      </c>
      <c r="C33" s="14">
        <v>591.6</v>
      </c>
      <c r="D33" s="14">
        <v>721</v>
      </c>
      <c r="E33" s="14">
        <v>771</v>
      </c>
      <c r="F33" s="14">
        <v>817</v>
      </c>
      <c r="G33" s="14">
        <v>846.4</v>
      </c>
      <c r="H33" s="14">
        <v>851.4</v>
      </c>
      <c r="I33" s="156">
        <v>232.8</v>
      </c>
      <c r="J33" s="132">
        <v>500</v>
      </c>
      <c r="K33" s="14">
        <v>388.69</v>
      </c>
      <c r="L33" s="132">
        <v>500</v>
      </c>
      <c r="M33" s="132"/>
    </row>
    <row r="34" spans="1:15" x14ac:dyDescent="0.2">
      <c r="A34" s="12">
        <v>5710</v>
      </c>
      <c r="B34" s="13" t="s">
        <v>529</v>
      </c>
      <c r="C34" s="19">
        <v>1600.96</v>
      </c>
      <c r="D34" s="19">
        <v>2086.83</v>
      </c>
      <c r="E34" s="19">
        <v>455.03</v>
      </c>
      <c r="F34" s="19">
        <v>1983.21</v>
      </c>
      <c r="G34" s="19">
        <v>1308.01</v>
      </c>
      <c r="H34" s="19">
        <v>3384.6</v>
      </c>
      <c r="I34" s="136">
        <v>3463.65</v>
      </c>
      <c r="J34" s="134">
        <v>1800</v>
      </c>
      <c r="K34" s="19">
        <v>536.04</v>
      </c>
      <c r="L34" s="134">
        <v>1900</v>
      </c>
      <c r="M34" s="134"/>
    </row>
    <row r="35" spans="1:15" ht="13.5" thickBot="1" x14ac:dyDescent="0.25">
      <c r="A35" s="12">
        <v>5730</v>
      </c>
      <c r="B35" s="13" t="s">
        <v>142</v>
      </c>
      <c r="C35" s="16">
        <v>225</v>
      </c>
      <c r="D35" s="16">
        <v>360</v>
      </c>
      <c r="E35" s="16">
        <v>325</v>
      </c>
      <c r="F35" s="16">
        <v>425</v>
      </c>
      <c r="G35" s="16">
        <v>360</v>
      </c>
      <c r="H35" s="16">
        <v>275</v>
      </c>
      <c r="I35" s="349">
        <v>460</v>
      </c>
      <c r="J35" s="133">
        <v>425</v>
      </c>
      <c r="K35" s="16">
        <v>480</v>
      </c>
      <c r="L35" s="133">
        <v>425</v>
      </c>
      <c r="M35" s="133"/>
    </row>
    <row r="36" spans="1:15" x14ac:dyDescent="0.2">
      <c r="A36" s="12"/>
      <c r="B36" s="18" t="s">
        <v>442</v>
      </c>
      <c r="C36" s="19">
        <f t="shared" ref="C36:M36" si="1">SUM(C18:C35)</f>
        <v>23584.149999999998</v>
      </c>
      <c r="D36" s="19">
        <f t="shared" si="1"/>
        <v>22891.799999999996</v>
      </c>
      <c r="E36" s="19">
        <f t="shared" si="1"/>
        <v>26774.629999999997</v>
      </c>
      <c r="F36" s="19">
        <f t="shared" si="1"/>
        <v>24079.85</v>
      </c>
      <c r="G36" s="19">
        <f>SUM(G18:G35)</f>
        <v>28252.16</v>
      </c>
      <c r="H36" s="19">
        <f>SUM(H18:H35)</f>
        <v>32411.819999999996</v>
      </c>
      <c r="I36" s="19">
        <f t="shared" si="1"/>
        <v>26693.63</v>
      </c>
      <c r="J36" s="20">
        <f>SUM(J18:J35)</f>
        <v>37625</v>
      </c>
      <c r="K36" s="19">
        <f t="shared" si="1"/>
        <v>22084.499999999996</v>
      </c>
      <c r="L36" s="20">
        <f>SUM(L18:L35)</f>
        <v>38425</v>
      </c>
      <c r="M36" s="20">
        <f t="shared" si="1"/>
        <v>0</v>
      </c>
    </row>
    <row r="37" spans="1:15" x14ac:dyDescent="0.2">
      <c r="A37" s="12"/>
      <c r="B37" s="18"/>
      <c r="C37" s="19"/>
      <c r="D37" s="19"/>
      <c r="E37" s="19"/>
      <c r="F37" s="19"/>
      <c r="G37" s="19"/>
      <c r="H37" s="19"/>
      <c r="I37" s="19"/>
      <c r="J37" s="20"/>
      <c r="K37" s="19"/>
      <c r="L37" s="20"/>
      <c r="M37" s="20"/>
    </row>
    <row r="38" spans="1:15" ht="13.5" hidden="1" thickBot="1" x14ac:dyDescent="0.25">
      <c r="A38" s="12">
        <v>5800</v>
      </c>
      <c r="B38" s="13" t="s">
        <v>871</v>
      </c>
      <c r="C38" s="16"/>
      <c r="D38" s="16"/>
      <c r="E38" s="16"/>
      <c r="F38" s="16">
        <v>3860</v>
      </c>
      <c r="G38" s="16"/>
      <c r="H38" s="16"/>
      <c r="I38" s="16"/>
      <c r="J38" s="17"/>
      <c r="K38" s="16"/>
      <c r="L38" s="17"/>
      <c r="M38" s="17"/>
    </row>
    <row r="39" spans="1:15" hidden="1" x14ac:dyDescent="0.2">
      <c r="A39" s="12"/>
      <c r="B39" s="18" t="s">
        <v>131</v>
      </c>
      <c r="C39" s="20">
        <f t="shared" ref="C39:L39" si="2">+C38</f>
        <v>0</v>
      </c>
      <c r="D39" s="20">
        <f t="shared" si="2"/>
        <v>0</v>
      </c>
      <c r="E39" s="20">
        <f t="shared" si="2"/>
        <v>0</v>
      </c>
      <c r="F39" s="19">
        <f>+F38</f>
        <v>3860</v>
      </c>
      <c r="G39" s="19">
        <f>+G38</f>
        <v>0</v>
      </c>
      <c r="H39" s="19">
        <f>+H38</f>
        <v>0</v>
      </c>
      <c r="I39" s="19">
        <f t="shared" si="2"/>
        <v>0</v>
      </c>
      <c r="J39" s="20">
        <f t="shared" ref="J39" si="3">+J38</f>
        <v>0</v>
      </c>
      <c r="K39" s="20">
        <f t="shared" si="2"/>
        <v>0</v>
      </c>
      <c r="L39" s="20">
        <f t="shared" si="2"/>
        <v>0</v>
      </c>
      <c r="M39" s="20">
        <f>+M38</f>
        <v>0</v>
      </c>
    </row>
    <row r="40" spans="1:15" hidden="1" x14ac:dyDescent="0.2">
      <c r="A40" s="12"/>
      <c r="B40" s="13"/>
      <c r="C40" s="14"/>
      <c r="D40" s="14"/>
      <c r="E40" s="14"/>
      <c r="F40" s="14"/>
      <c r="G40" s="14"/>
      <c r="H40" s="14"/>
      <c r="I40" s="14"/>
      <c r="J40" s="15"/>
      <c r="K40" s="14"/>
      <c r="L40" s="15"/>
      <c r="M40" s="15"/>
    </row>
    <row r="41" spans="1:15" ht="13.5" thickBot="1" x14ac:dyDescent="0.25">
      <c r="A41" s="21"/>
      <c r="B41" s="22" t="s">
        <v>447</v>
      </c>
      <c r="C41" s="23">
        <f>+C16+C36+C39</f>
        <v>141651.54</v>
      </c>
      <c r="D41" s="23">
        <f>+D16+D36+D39</f>
        <v>144985.04999999999</v>
      </c>
      <c r="E41" s="23">
        <f>+E16+E36+E39</f>
        <v>151757</v>
      </c>
      <c r="F41" s="23">
        <f>+F39+F36+F16</f>
        <v>159170.29</v>
      </c>
      <c r="G41" s="23">
        <f>+G39+G36+G16</f>
        <v>163402.36000000002</v>
      </c>
      <c r="H41" s="23">
        <f>+H39+H36+H16</f>
        <v>172805.62</v>
      </c>
      <c r="I41" s="23">
        <f>+I36+I16+I39</f>
        <v>172698.83000000002</v>
      </c>
      <c r="J41" s="43">
        <f>+J36+J16+J39</f>
        <v>189278</v>
      </c>
      <c r="K41" s="23">
        <f>+K36+K16+K39</f>
        <v>94552.98000000001</v>
      </c>
      <c r="L41" s="43">
        <f>+L36+L16+L39</f>
        <v>195422</v>
      </c>
      <c r="M41" s="43">
        <f>+L41</f>
        <v>195422</v>
      </c>
    </row>
    <row r="42" spans="1:15" ht="13.5" thickTop="1" x14ac:dyDescent="0.2">
      <c r="A42" s="102"/>
      <c r="B42" s="102"/>
      <c r="C42" s="25"/>
      <c r="D42" s="25"/>
      <c r="E42" s="25"/>
      <c r="F42" s="25"/>
      <c r="G42" s="25"/>
      <c r="H42" s="25"/>
      <c r="I42" s="25"/>
      <c r="J42" s="25"/>
      <c r="K42" s="29"/>
      <c r="L42" s="25"/>
      <c r="M42" s="84"/>
      <c r="N42" s="25"/>
      <c r="O42" s="29"/>
    </row>
    <row r="43" spans="1:15" ht="13.5" thickBot="1" x14ac:dyDescent="0.25">
      <c r="A43" s="4" t="s">
        <v>521</v>
      </c>
      <c r="B43" s="4"/>
      <c r="L43" s="112"/>
    </row>
    <row r="44" spans="1:15" ht="13.5" thickTop="1" x14ac:dyDescent="0.2">
      <c r="A44" s="162" t="s">
        <v>883</v>
      </c>
      <c r="B44" s="114"/>
      <c r="H44" s="162" t="s">
        <v>84</v>
      </c>
      <c r="I44" s="169" t="s">
        <v>33</v>
      </c>
      <c r="J44" s="182"/>
      <c r="K44" s="171" t="s">
        <v>578</v>
      </c>
      <c r="L44"/>
      <c r="M44" s="220" t="s">
        <v>336</v>
      </c>
      <c r="N44"/>
    </row>
    <row r="45" spans="1:15" ht="13.5" thickBot="1" x14ac:dyDescent="0.25">
      <c r="A45" s="392" t="s">
        <v>884</v>
      </c>
      <c r="B45" s="116" t="s">
        <v>522</v>
      </c>
      <c r="H45" s="163">
        <v>42186</v>
      </c>
      <c r="I45" s="172" t="s">
        <v>575</v>
      </c>
      <c r="J45" s="173" t="s">
        <v>34</v>
      </c>
      <c r="K45" s="173" t="s">
        <v>101</v>
      </c>
      <c r="L45" s="246" t="s">
        <v>335</v>
      </c>
      <c r="M45" s="246" t="s">
        <v>900</v>
      </c>
      <c r="N45" s="246" t="s">
        <v>337</v>
      </c>
    </row>
    <row r="46" spans="1:15" ht="13.5" thickTop="1" x14ac:dyDescent="0.2">
      <c r="A46" s="164">
        <v>42233</v>
      </c>
      <c r="B46" s="117" t="s">
        <v>102</v>
      </c>
      <c r="H46" s="20" t="s">
        <v>792</v>
      </c>
      <c r="I46" s="19"/>
      <c r="J46" s="19"/>
      <c r="K46" s="168">
        <f>+'NAGE &amp; Non-Union Wages'!K10</f>
        <v>73184</v>
      </c>
      <c r="L46" s="185"/>
      <c r="M46"/>
      <c r="N46" s="1">
        <v>300</v>
      </c>
    </row>
    <row r="47" spans="1:15" x14ac:dyDescent="0.2">
      <c r="A47" s="165">
        <v>38553</v>
      </c>
      <c r="B47" s="69" t="s">
        <v>544</v>
      </c>
      <c r="H47" s="15" t="s">
        <v>790</v>
      </c>
      <c r="I47" s="180">
        <f>+'NAGE &amp; Non-Union Wages'!K5</f>
        <v>21.6</v>
      </c>
      <c r="J47" s="19">
        <v>1828.5</v>
      </c>
      <c r="K47" s="168">
        <f>ROUND((+I47*J47),2)</f>
        <v>39495.599999999999</v>
      </c>
      <c r="L47" s="185">
        <v>38553</v>
      </c>
      <c r="M47">
        <v>15</v>
      </c>
      <c r="N47" s="322">
        <v>800</v>
      </c>
    </row>
    <row r="48" spans="1:15" x14ac:dyDescent="0.2">
      <c r="A48" s="165">
        <v>41351</v>
      </c>
      <c r="B48" s="69" t="s">
        <v>1050</v>
      </c>
      <c r="H48" s="14" t="s">
        <v>1067</v>
      </c>
      <c r="I48" s="180">
        <f>+'NAGE &amp; Non-Union Wages'!I5</f>
        <v>20.75</v>
      </c>
      <c r="J48" s="19">
        <v>1828.5</v>
      </c>
      <c r="K48" s="168">
        <f>ROUND((+I48*J48),2)</f>
        <v>37941.379999999997</v>
      </c>
      <c r="L48" s="185">
        <v>41351</v>
      </c>
      <c r="M48">
        <v>8</v>
      </c>
      <c r="N48" s="322">
        <v>300</v>
      </c>
    </row>
    <row r="49" spans="1:15" x14ac:dyDescent="0.2">
      <c r="A49" s="79"/>
      <c r="B49" s="79"/>
      <c r="H49" s="81">
        <f>+'NAGE &amp; Non-Union Wages'!K10</f>
        <v>73184</v>
      </c>
      <c r="I49" s="79"/>
      <c r="J49" s="79"/>
      <c r="K49" s="180">
        <f>SUM(K46:K48)</f>
        <v>150620.98000000001</v>
      </c>
      <c r="L49"/>
      <c r="M49"/>
      <c r="N49"/>
    </row>
    <row r="50" spans="1:15" x14ac:dyDescent="0.2">
      <c r="A50" s="4"/>
      <c r="B50" s="4"/>
      <c r="C50" s="25"/>
      <c r="D50" s="25"/>
      <c r="E50" s="25"/>
      <c r="H50" s="25"/>
      <c r="I50" s="25"/>
      <c r="J50" s="25"/>
      <c r="K50" s="29"/>
      <c r="L50"/>
      <c r="M50" t="s">
        <v>431</v>
      </c>
      <c r="N50">
        <f>SUM(N46:N49)</f>
        <v>1400</v>
      </c>
    </row>
    <row r="51" spans="1:15" x14ac:dyDescent="0.2">
      <c r="A51" s="4"/>
      <c r="B51" s="102"/>
      <c r="C51" s="112"/>
      <c r="D51" s="112"/>
      <c r="E51" s="112"/>
      <c r="H51" s="112"/>
      <c r="I51" s="25"/>
      <c r="J51" s="25"/>
      <c r="K51" s="29"/>
      <c r="L51" s="25"/>
      <c r="M51" s="25"/>
      <c r="N51" s="25"/>
      <c r="O51" s="29"/>
    </row>
    <row r="52" spans="1:15" ht="15.75" thickBot="1" x14ac:dyDescent="0.3">
      <c r="A52" s="417"/>
      <c r="B52" s="4"/>
      <c r="C52" s="25"/>
      <c r="D52" s="25"/>
      <c r="E52" s="25"/>
      <c r="H52" s="25"/>
      <c r="I52" s="25"/>
      <c r="J52" s="25"/>
      <c r="K52" s="29"/>
      <c r="L52" s="25"/>
      <c r="M52" s="25"/>
      <c r="N52" s="25"/>
      <c r="O52" s="29"/>
    </row>
    <row r="53" spans="1:15" ht="13.5" thickTop="1" x14ac:dyDescent="0.2">
      <c r="A53" s="517"/>
      <c r="B53" s="518"/>
      <c r="C53" s="519" t="s">
        <v>122</v>
      </c>
      <c r="D53" s="520" t="s">
        <v>122</v>
      </c>
      <c r="E53" s="520" t="s">
        <v>122</v>
      </c>
      <c r="H53" s="521" t="s">
        <v>542</v>
      </c>
      <c r="I53" s="522" t="s">
        <v>9</v>
      </c>
      <c r="J53" s="523" t="s">
        <v>1073</v>
      </c>
      <c r="K53" s="522" t="s">
        <v>682</v>
      </c>
      <c r="L53" s="524"/>
      <c r="M53" s="523"/>
      <c r="N53" s="25"/>
      <c r="O53" s="29"/>
    </row>
    <row r="54" spans="1:15" ht="13.5" thickBot="1" x14ac:dyDescent="0.25">
      <c r="A54" s="525" t="s">
        <v>123</v>
      </c>
      <c r="B54" s="526"/>
      <c r="C54" s="527" t="s">
        <v>334</v>
      </c>
      <c r="D54" s="527" t="s">
        <v>718</v>
      </c>
      <c r="E54" s="528" t="s">
        <v>734</v>
      </c>
      <c r="H54" s="529" t="s">
        <v>899</v>
      </c>
      <c r="I54" s="529" t="s">
        <v>900</v>
      </c>
      <c r="J54" s="528" t="s">
        <v>1075</v>
      </c>
      <c r="K54" s="530" t="s">
        <v>1075</v>
      </c>
      <c r="L54" s="531" t="s">
        <v>1074</v>
      </c>
      <c r="M54" s="529"/>
      <c r="N54" s="25"/>
      <c r="O54" s="29"/>
    </row>
    <row r="55" spans="1:15" ht="13.5" thickTop="1" x14ac:dyDescent="0.2">
      <c r="A55" s="548">
        <v>5111</v>
      </c>
      <c r="B55" s="549" t="s">
        <v>684</v>
      </c>
      <c r="C55" s="536">
        <v>105657.64</v>
      </c>
      <c r="D55" s="536">
        <v>117593.25</v>
      </c>
      <c r="E55" s="536">
        <v>109813.74</v>
      </c>
      <c r="H55" s="537">
        <f t="shared" ref="H55:H60" si="4">+J8</f>
        <v>145878</v>
      </c>
      <c r="I55" s="568">
        <f t="shared" ref="I55:I60" si="5">+L8</f>
        <v>150622</v>
      </c>
      <c r="J55" s="539">
        <f t="shared" ref="J55:J78" si="6">+I55-H55</f>
        <v>4744</v>
      </c>
      <c r="K55" s="545">
        <f t="shared" ref="K55:K78" si="7">IF(H55+I55&lt;&gt;0,IF(H55&lt;&gt;0,IF(J55&lt;&gt;0,ROUND((+J55/H55),4),""),1),"")</f>
        <v>3.2500000000000001E-2</v>
      </c>
      <c r="L55" s="538" t="s">
        <v>1524</v>
      </c>
      <c r="M55" s="539"/>
      <c r="N55" s="25"/>
      <c r="O55" s="29"/>
    </row>
    <row r="56" spans="1:15" x14ac:dyDescent="0.2">
      <c r="A56" s="551">
        <v>5115</v>
      </c>
      <c r="B56" s="540" t="s">
        <v>557</v>
      </c>
      <c r="C56" s="536">
        <v>1000</v>
      </c>
      <c r="D56" s="536">
        <v>1500</v>
      </c>
      <c r="E56" s="536">
        <v>1500</v>
      </c>
      <c r="H56" s="537">
        <f t="shared" si="4"/>
        <v>1765</v>
      </c>
      <c r="I56" s="568">
        <f t="shared" si="5"/>
        <v>1765</v>
      </c>
      <c r="J56" s="539">
        <f t="shared" si="6"/>
        <v>0</v>
      </c>
      <c r="K56" s="545" t="str">
        <f t="shared" si="7"/>
        <v/>
      </c>
      <c r="L56" s="538"/>
      <c r="M56" s="539"/>
      <c r="N56" s="25"/>
      <c r="O56" s="29"/>
    </row>
    <row r="57" spans="1:15" x14ac:dyDescent="0.2">
      <c r="A57" s="551">
        <v>5115</v>
      </c>
      <c r="B57" s="540" t="s">
        <v>525</v>
      </c>
      <c r="C57" s="544">
        <v>1000</v>
      </c>
      <c r="D57" s="544">
        <v>1500</v>
      </c>
      <c r="E57" s="544">
        <v>1500</v>
      </c>
      <c r="H57" s="537">
        <f t="shared" si="4"/>
        <v>1605</v>
      </c>
      <c r="I57" s="568">
        <f t="shared" si="5"/>
        <v>1605</v>
      </c>
      <c r="J57" s="539">
        <f t="shared" si="6"/>
        <v>0</v>
      </c>
      <c r="K57" s="545" t="str">
        <f t="shared" si="7"/>
        <v/>
      </c>
      <c r="L57" s="538"/>
      <c r="M57" s="539"/>
      <c r="N57" s="25"/>
      <c r="O57" s="29"/>
    </row>
    <row r="58" spans="1:15" x14ac:dyDescent="0.2">
      <c r="A58" s="551">
        <v>5115</v>
      </c>
      <c r="B58" s="540" t="s">
        <v>526</v>
      </c>
      <c r="C58" s="544">
        <v>1000</v>
      </c>
      <c r="D58" s="544">
        <v>1500</v>
      </c>
      <c r="E58" s="544">
        <v>1500</v>
      </c>
      <c r="H58" s="537">
        <f t="shared" si="4"/>
        <v>1605</v>
      </c>
      <c r="I58" s="568">
        <f t="shared" si="5"/>
        <v>1605</v>
      </c>
      <c r="J58" s="539">
        <f t="shared" si="6"/>
        <v>0</v>
      </c>
      <c r="K58" s="545" t="str">
        <f t="shared" si="7"/>
        <v/>
      </c>
      <c r="L58" s="538"/>
      <c r="M58" s="539"/>
      <c r="N58" s="25"/>
      <c r="O58" s="29"/>
    </row>
    <row r="59" spans="1:15" hidden="1" x14ac:dyDescent="0.2">
      <c r="A59" s="551">
        <v>5124</v>
      </c>
      <c r="B59" s="540" t="s">
        <v>735</v>
      </c>
      <c r="C59" s="546">
        <v>3759.75</v>
      </c>
      <c r="D59" s="546"/>
      <c r="E59" s="546">
        <v>10668.63</v>
      </c>
      <c r="H59" s="537">
        <f t="shared" si="4"/>
        <v>0</v>
      </c>
      <c r="I59" s="568">
        <f t="shared" si="5"/>
        <v>0</v>
      </c>
      <c r="J59" s="539">
        <f t="shared" si="6"/>
        <v>0</v>
      </c>
      <c r="K59" s="545" t="str">
        <f t="shared" si="7"/>
        <v/>
      </c>
      <c r="L59" s="538"/>
      <c r="M59" s="539"/>
      <c r="N59" s="25"/>
      <c r="O59" s="29"/>
    </row>
    <row r="60" spans="1:15" x14ac:dyDescent="0.2">
      <c r="A60" s="551">
        <v>5144</v>
      </c>
      <c r="B60" s="540" t="s">
        <v>152</v>
      </c>
      <c r="C60" s="546">
        <v>150</v>
      </c>
      <c r="D60" s="546"/>
      <c r="E60" s="546"/>
      <c r="H60" s="537">
        <f t="shared" si="4"/>
        <v>800</v>
      </c>
      <c r="I60" s="568">
        <f t="shared" si="5"/>
        <v>1400</v>
      </c>
      <c r="J60" s="539">
        <f t="shared" si="6"/>
        <v>600</v>
      </c>
      <c r="K60" s="545">
        <f t="shared" si="7"/>
        <v>0.75</v>
      </c>
      <c r="L60" s="538" t="s">
        <v>1525</v>
      </c>
      <c r="M60" s="539"/>
      <c r="N60" s="25"/>
      <c r="O60" s="29"/>
    </row>
    <row r="61" spans="1:15" x14ac:dyDescent="0.2">
      <c r="A61" s="551">
        <v>5248</v>
      </c>
      <c r="B61" s="540" t="s">
        <v>133</v>
      </c>
      <c r="C61" s="544"/>
      <c r="D61" s="544">
        <v>180.98</v>
      </c>
      <c r="E61" s="544">
        <v>152.24</v>
      </c>
      <c r="H61" s="543">
        <f>+J18</f>
        <v>600</v>
      </c>
      <c r="I61" s="568">
        <f t="shared" ref="I61:I78" si="8">+L18</f>
        <v>600</v>
      </c>
      <c r="J61" s="539">
        <f t="shared" si="6"/>
        <v>0</v>
      </c>
      <c r="K61" s="545" t="str">
        <f t="shared" si="7"/>
        <v/>
      </c>
      <c r="L61" s="538"/>
      <c r="M61" s="539"/>
      <c r="N61" s="25"/>
      <c r="O61" s="4"/>
    </row>
    <row r="62" spans="1:15" x14ac:dyDescent="0.2">
      <c r="A62" s="551">
        <v>5302</v>
      </c>
      <c r="B62" s="540" t="s">
        <v>146</v>
      </c>
      <c r="C62" s="544">
        <v>391</v>
      </c>
      <c r="D62" s="544">
        <v>1202.5</v>
      </c>
      <c r="E62" s="544">
        <v>630</v>
      </c>
      <c r="H62" s="543">
        <f t="shared" ref="H62:H78" si="9">+J19</f>
        <v>10500</v>
      </c>
      <c r="I62" s="568">
        <f t="shared" si="8"/>
        <v>10500</v>
      </c>
      <c r="J62" s="539">
        <f t="shared" si="6"/>
        <v>0</v>
      </c>
      <c r="K62" s="545" t="str">
        <f t="shared" si="7"/>
        <v/>
      </c>
      <c r="L62" s="538"/>
      <c r="M62" s="539"/>
      <c r="N62" s="25"/>
      <c r="O62" s="4"/>
    </row>
    <row r="63" spans="1:15" x14ac:dyDescent="0.2">
      <c r="A63" s="551">
        <v>5305</v>
      </c>
      <c r="B63" s="540" t="s">
        <v>143</v>
      </c>
      <c r="C63" s="544"/>
      <c r="D63" s="544">
        <v>0</v>
      </c>
      <c r="E63" s="544">
        <v>178.01</v>
      </c>
      <c r="H63" s="543">
        <f t="shared" si="9"/>
        <v>350</v>
      </c>
      <c r="I63" s="568">
        <f t="shared" si="8"/>
        <v>350</v>
      </c>
      <c r="J63" s="539">
        <f t="shared" si="6"/>
        <v>0</v>
      </c>
      <c r="K63" s="545" t="str">
        <f t="shared" si="7"/>
        <v/>
      </c>
      <c r="L63" s="538"/>
      <c r="M63" s="539"/>
      <c r="N63" s="25"/>
      <c r="O63" s="4"/>
    </row>
    <row r="64" spans="1:15" x14ac:dyDescent="0.2">
      <c r="A64" s="551">
        <v>5306</v>
      </c>
      <c r="B64" s="540" t="s">
        <v>21</v>
      </c>
      <c r="C64" s="544">
        <f>2000+4725</f>
        <v>6725</v>
      </c>
      <c r="D64" s="544">
        <f>2000+4955</f>
        <v>6955</v>
      </c>
      <c r="E64" s="544">
        <f>2000+4955</f>
        <v>6955</v>
      </c>
      <c r="H64" s="543">
        <f t="shared" si="9"/>
        <v>7800</v>
      </c>
      <c r="I64" s="568">
        <f t="shared" si="8"/>
        <v>8050</v>
      </c>
      <c r="J64" s="539">
        <f t="shared" si="6"/>
        <v>250</v>
      </c>
      <c r="K64" s="545">
        <f t="shared" si="7"/>
        <v>3.2099999999999997E-2</v>
      </c>
      <c r="L64" s="538" t="s">
        <v>1526</v>
      </c>
      <c r="M64" s="539"/>
      <c r="N64" s="25"/>
      <c r="O64" s="4"/>
    </row>
    <row r="65" spans="1:15" x14ac:dyDescent="0.2">
      <c r="A65" s="551">
        <v>5307</v>
      </c>
      <c r="B65" s="540" t="s">
        <v>867</v>
      </c>
      <c r="C65" s="544"/>
      <c r="D65" s="544"/>
      <c r="E65" s="544"/>
      <c r="H65" s="543">
        <f t="shared" si="9"/>
        <v>1900</v>
      </c>
      <c r="I65" s="568">
        <f t="shared" si="8"/>
        <v>1900</v>
      </c>
      <c r="J65" s="539">
        <f t="shared" si="6"/>
        <v>0</v>
      </c>
      <c r="K65" s="545" t="str">
        <f t="shared" si="7"/>
        <v/>
      </c>
      <c r="L65" s="538"/>
      <c r="M65" s="539"/>
      <c r="N65" s="25"/>
      <c r="O65" s="4"/>
    </row>
    <row r="66" spans="1:15" x14ac:dyDescent="0.2">
      <c r="A66" s="551">
        <v>5308</v>
      </c>
      <c r="B66" s="540" t="s">
        <v>602</v>
      </c>
      <c r="C66" s="544">
        <f>2000+4900</f>
        <v>6900</v>
      </c>
      <c r="D66" s="544">
        <v>6900</v>
      </c>
      <c r="E66" s="544">
        <v>6900</v>
      </c>
      <c r="H66" s="543">
        <f t="shared" si="9"/>
        <v>5350</v>
      </c>
      <c r="I66" s="568">
        <f t="shared" si="8"/>
        <v>5500</v>
      </c>
      <c r="J66" s="539">
        <f t="shared" si="6"/>
        <v>150</v>
      </c>
      <c r="K66" s="545">
        <f t="shared" si="7"/>
        <v>2.8000000000000001E-2</v>
      </c>
      <c r="L66" s="538" t="s">
        <v>1526</v>
      </c>
      <c r="M66" s="539"/>
      <c r="N66" s="25"/>
      <c r="O66" s="4"/>
    </row>
    <row r="67" spans="1:15" x14ac:dyDescent="0.2">
      <c r="A67" s="551">
        <v>5311</v>
      </c>
      <c r="B67" s="540" t="s">
        <v>147</v>
      </c>
      <c r="C67" s="544">
        <v>86</v>
      </c>
      <c r="D67" s="544">
        <v>94</v>
      </c>
      <c r="E67" s="544">
        <v>17</v>
      </c>
      <c r="H67" s="543">
        <f t="shared" si="9"/>
        <v>50</v>
      </c>
      <c r="I67" s="568">
        <f t="shared" si="8"/>
        <v>150</v>
      </c>
      <c r="J67" s="539">
        <f t="shared" si="6"/>
        <v>100</v>
      </c>
      <c r="K67" s="545">
        <f t="shared" si="7"/>
        <v>2</v>
      </c>
      <c r="L67" s="538" t="s">
        <v>1527</v>
      </c>
      <c r="M67" s="539"/>
      <c r="N67" s="25"/>
      <c r="O67" s="4"/>
    </row>
    <row r="68" spans="1:15" x14ac:dyDescent="0.2">
      <c r="A68" s="551">
        <v>5314</v>
      </c>
      <c r="B68" s="540" t="s">
        <v>134</v>
      </c>
      <c r="C68" s="544">
        <v>2071</v>
      </c>
      <c r="D68" s="544">
        <v>1328.75</v>
      </c>
      <c r="E68" s="544">
        <v>724.97</v>
      </c>
      <c r="H68" s="543">
        <f t="shared" si="9"/>
        <v>2200</v>
      </c>
      <c r="I68" s="568">
        <f t="shared" si="8"/>
        <v>2200</v>
      </c>
      <c r="J68" s="539">
        <f t="shared" si="6"/>
        <v>0</v>
      </c>
      <c r="K68" s="545" t="str">
        <f t="shared" si="7"/>
        <v/>
      </c>
      <c r="L68" s="538"/>
      <c r="M68" s="539"/>
      <c r="N68" s="25"/>
      <c r="O68" s="4"/>
    </row>
    <row r="69" spans="1:15" x14ac:dyDescent="0.2">
      <c r="A69" s="551">
        <v>5315</v>
      </c>
      <c r="B69" s="540" t="s">
        <v>135</v>
      </c>
      <c r="C69" s="544">
        <v>2356.9</v>
      </c>
      <c r="D69" s="544"/>
      <c r="E69" s="544"/>
      <c r="H69" s="543">
        <f t="shared" si="9"/>
        <v>0</v>
      </c>
      <c r="I69" s="568">
        <f t="shared" si="8"/>
        <v>0</v>
      </c>
      <c r="J69" s="539">
        <f t="shared" si="6"/>
        <v>0</v>
      </c>
      <c r="K69" s="545" t="str">
        <f t="shared" si="7"/>
        <v/>
      </c>
      <c r="L69" s="538"/>
      <c r="M69" s="539"/>
      <c r="N69" s="25"/>
      <c r="O69" s="4"/>
    </row>
    <row r="70" spans="1:15" hidden="1" x14ac:dyDescent="0.2">
      <c r="A70" s="551">
        <v>5341</v>
      </c>
      <c r="B70" s="540" t="s">
        <v>136</v>
      </c>
      <c r="C70" s="544">
        <v>537.27</v>
      </c>
      <c r="D70" s="544">
        <v>473.76</v>
      </c>
      <c r="E70" s="544">
        <v>473.24</v>
      </c>
      <c r="H70" s="543">
        <f t="shared" si="9"/>
        <v>0</v>
      </c>
      <c r="I70" s="568">
        <f t="shared" si="8"/>
        <v>0</v>
      </c>
      <c r="J70" s="539">
        <f t="shared" si="6"/>
        <v>0</v>
      </c>
      <c r="K70" s="545" t="str">
        <f t="shared" si="7"/>
        <v/>
      </c>
      <c r="L70" s="538"/>
      <c r="M70" s="539"/>
      <c r="N70" s="25"/>
      <c r="O70" s="4"/>
    </row>
    <row r="71" spans="1:15" x14ac:dyDescent="0.2">
      <c r="A71" s="551">
        <v>5344</v>
      </c>
      <c r="B71" s="540" t="s">
        <v>137</v>
      </c>
      <c r="C71" s="544">
        <v>759.81</v>
      </c>
      <c r="D71" s="544">
        <v>509.12</v>
      </c>
      <c r="E71" s="544">
        <v>515.99</v>
      </c>
      <c r="H71" s="543">
        <f t="shared" si="9"/>
        <v>900</v>
      </c>
      <c r="I71" s="568">
        <f t="shared" si="8"/>
        <v>900</v>
      </c>
      <c r="J71" s="539">
        <f t="shared" si="6"/>
        <v>0</v>
      </c>
      <c r="K71" s="545" t="str">
        <f t="shared" si="7"/>
        <v/>
      </c>
      <c r="L71" s="538"/>
      <c r="M71" s="539"/>
      <c r="N71" s="25"/>
      <c r="O71" s="4"/>
    </row>
    <row r="72" spans="1:15" x14ac:dyDescent="0.2">
      <c r="A72" s="551">
        <v>5345</v>
      </c>
      <c r="B72" s="540" t="s">
        <v>138</v>
      </c>
      <c r="C72" s="536">
        <v>178.85</v>
      </c>
      <c r="D72" s="536"/>
      <c r="E72" s="536">
        <v>6257.19</v>
      </c>
      <c r="H72" s="543">
        <f t="shared" si="9"/>
        <v>150</v>
      </c>
      <c r="I72" s="568">
        <f t="shared" si="8"/>
        <v>150</v>
      </c>
      <c r="J72" s="539">
        <f t="shared" si="6"/>
        <v>0</v>
      </c>
      <c r="K72" s="545" t="str">
        <f t="shared" si="7"/>
        <v/>
      </c>
      <c r="L72" s="538"/>
      <c r="M72" s="539"/>
      <c r="N72" s="25"/>
      <c r="O72" s="4"/>
    </row>
    <row r="73" spans="1:15" x14ac:dyDescent="0.2">
      <c r="A73" s="551">
        <v>5350</v>
      </c>
      <c r="B73" s="540" t="s">
        <v>1307</v>
      </c>
      <c r="C73" s="536"/>
      <c r="D73" s="536"/>
      <c r="E73" s="536"/>
      <c r="H73" s="543">
        <f t="shared" si="9"/>
        <v>1500</v>
      </c>
      <c r="I73" s="568">
        <f t="shared" si="8"/>
        <v>1500</v>
      </c>
      <c r="J73" s="539">
        <f t="shared" ref="J73" si="10">+I73-H73</f>
        <v>0</v>
      </c>
      <c r="K73" s="545" t="str">
        <f t="shared" si="7"/>
        <v/>
      </c>
      <c r="L73" s="538"/>
      <c r="M73" s="539"/>
      <c r="N73" s="25"/>
      <c r="O73" s="4"/>
    </row>
    <row r="74" spans="1:15" x14ac:dyDescent="0.2">
      <c r="A74" s="551">
        <v>5380</v>
      </c>
      <c r="B74" s="540" t="s">
        <v>535</v>
      </c>
      <c r="C74" s="544"/>
      <c r="D74" s="544">
        <v>906.15</v>
      </c>
      <c r="E74" s="544">
        <v>1125.5</v>
      </c>
      <c r="H74" s="543">
        <f t="shared" si="9"/>
        <v>2600</v>
      </c>
      <c r="I74" s="568">
        <f t="shared" si="8"/>
        <v>2800</v>
      </c>
      <c r="J74" s="539">
        <f t="shared" si="6"/>
        <v>200</v>
      </c>
      <c r="K74" s="545">
        <f t="shared" si="7"/>
        <v>7.6899999999999996E-2</v>
      </c>
      <c r="L74" s="538" t="s">
        <v>1528</v>
      </c>
      <c r="M74" s="539"/>
      <c r="N74" s="25"/>
      <c r="O74" s="4"/>
    </row>
    <row r="75" spans="1:15" x14ac:dyDescent="0.2">
      <c r="A75" s="551">
        <v>5420</v>
      </c>
      <c r="B75" s="540" t="s">
        <v>139</v>
      </c>
      <c r="C75" s="536">
        <v>1160.76</v>
      </c>
      <c r="D75" s="536">
        <v>1173.71</v>
      </c>
      <c r="E75" s="536">
        <v>1294.46</v>
      </c>
      <c r="H75" s="543">
        <f t="shared" si="9"/>
        <v>1000</v>
      </c>
      <c r="I75" s="568">
        <f t="shared" si="8"/>
        <v>1000</v>
      </c>
      <c r="J75" s="539">
        <f t="shared" si="6"/>
        <v>0</v>
      </c>
      <c r="K75" s="545" t="str">
        <f t="shared" si="7"/>
        <v/>
      </c>
      <c r="L75" s="538"/>
      <c r="M75" s="539"/>
      <c r="N75" s="25"/>
      <c r="O75" s="4"/>
    </row>
    <row r="76" spans="1:15" x14ac:dyDescent="0.2">
      <c r="A76" s="551">
        <v>5581</v>
      </c>
      <c r="B76" s="540" t="s">
        <v>141</v>
      </c>
      <c r="C76" s="544">
        <v>591.6</v>
      </c>
      <c r="D76" s="544">
        <v>721</v>
      </c>
      <c r="E76" s="544">
        <v>771</v>
      </c>
      <c r="H76" s="543">
        <f t="shared" si="9"/>
        <v>500</v>
      </c>
      <c r="I76" s="568">
        <f t="shared" si="8"/>
        <v>500</v>
      </c>
      <c r="J76" s="539">
        <f t="shared" si="6"/>
        <v>0</v>
      </c>
      <c r="K76" s="545" t="str">
        <f t="shared" si="7"/>
        <v/>
      </c>
      <c r="L76" s="538"/>
      <c r="M76" s="539"/>
      <c r="N76" s="25"/>
      <c r="O76" s="4"/>
    </row>
    <row r="77" spans="1:15" x14ac:dyDescent="0.2">
      <c r="A77" s="551">
        <v>5710</v>
      </c>
      <c r="B77" s="540" t="s">
        <v>529</v>
      </c>
      <c r="C77" s="536">
        <v>1600.96</v>
      </c>
      <c r="D77" s="536">
        <v>2086.83</v>
      </c>
      <c r="E77" s="536">
        <v>455.03</v>
      </c>
      <c r="H77" s="543">
        <f t="shared" si="9"/>
        <v>1800</v>
      </c>
      <c r="I77" s="568">
        <f t="shared" si="8"/>
        <v>1900</v>
      </c>
      <c r="J77" s="539">
        <f t="shared" si="6"/>
        <v>100</v>
      </c>
      <c r="K77" s="545">
        <f t="shared" si="7"/>
        <v>5.5599999999999997E-2</v>
      </c>
      <c r="L77" s="538" t="s">
        <v>1529</v>
      </c>
      <c r="M77" s="539"/>
      <c r="N77" s="25"/>
      <c r="O77" s="4"/>
    </row>
    <row r="78" spans="1:15" ht="13.5" thickBot="1" x14ac:dyDescent="0.25">
      <c r="A78" s="551">
        <v>5730</v>
      </c>
      <c r="B78" s="540" t="s">
        <v>142</v>
      </c>
      <c r="C78" s="542">
        <v>225</v>
      </c>
      <c r="D78" s="542">
        <v>360</v>
      </c>
      <c r="E78" s="542">
        <v>325</v>
      </c>
      <c r="H78" s="543">
        <f t="shared" si="9"/>
        <v>425</v>
      </c>
      <c r="I78" s="568">
        <f t="shared" si="8"/>
        <v>425</v>
      </c>
      <c r="J78" s="539">
        <f t="shared" si="6"/>
        <v>0</v>
      </c>
      <c r="K78" s="545" t="str">
        <f t="shared" si="7"/>
        <v/>
      </c>
      <c r="L78" s="538"/>
      <c r="M78" s="539"/>
      <c r="N78" s="25"/>
      <c r="O78" s="4"/>
    </row>
    <row r="79" spans="1:15" x14ac:dyDescent="0.2">
      <c r="A79" s="4"/>
      <c r="B79" s="4"/>
      <c r="C79" s="25"/>
      <c r="D79" s="25"/>
      <c r="E79" s="25"/>
      <c r="F79" s="25"/>
      <c r="G79" s="25"/>
      <c r="H79" s="25"/>
      <c r="I79" s="25"/>
      <c r="J79" s="25"/>
      <c r="K79" s="4"/>
      <c r="L79" s="25"/>
      <c r="M79" s="25"/>
      <c r="N79" s="25"/>
      <c r="O79" s="4"/>
    </row>
    <row r="80" spans="1:15" x14ac:dyDescent="0.2">
      <c r="A80" s="4"/>
      <c r="B80" s="4" t="s">
        <v>1600</v>
      </c>
      <c r="C80" s="25"/>
      <c r="D80" s="25"/>
      <c r="E80" s="25"/>
      <c r="F80" s="25"/>
      <c r="G80" s="25"/>
      <c r="H80" s="849">
        <f>SUM(H55:H78)</f>
        <v>189278</v>
      </c>
      <c r="I80" s="849">
        <f>SUM(I55:I78)</f>
        <v>195422</v>
      </c>
      <c r="J80" s="208">
        <f t="shared" ref="J80" si="11">+I80-H80</f>
        <v>6144</v>
      </c>
      <c r="K80" s="850">
        <f t="shared" ref="K80" si="12">IF(H80+I80&lt;&gt;0,IF(H80&lt;&gt;0,IF(J80&lt;&gt;0,ROUND((+J80/H80),4),""),1),"")</f>
        <v>3.2500000000000001E-2</v>
      </c>
      <c r="L80" s="25"/>
      <c r="M80" s="25"/>
      <c r="N80" s="25"/>
      <c r="O80" s="4"/>
    </row>
    <row r="81" spans="1:15" x14ac:dyDescent="0.2">
      <c r="A81" s="4" t="s">
        <v>1139</v>
      </c>
      <c r="B81" s="4"/>
      <c r="C81" s="25"/>
      <c r="D81" s="25"/>
      <c r="E81" s="25"/>
      <c r="F81" s="25"/>
      <c r="G81" s="25"/>
      <c r="H81" s="25"/>
      <c r="I81" s="25"/>
      <c r="J81" s="25"/>
      <c r="K81" s="4"/>
      <c r="L81" s="25"/>
      <c r="M81" s="25"/>
      <c r="N81" s="25"/>
      <c r="O81" s="4"/>
    </row>
    <row r="82" spans="1:15" ht="15" x14ac:dyDescent="0.2">
      <c r="A82" s="663" t="s">
        <v>1142</v>
      </c>
      <c r="B82" s="4"/>
      <c r="C82" s="25"/>
      <c r="D82" s="25"/>
      <c r="E82" s="25"/>
      <c r="F82" s="25"/>
      <c r="G82" s="25"/>
      <c r="H82" s="25"/>
      <c r="I82" s="25"/>
      <c r="J82" s="25"/>
      <c r="K82" s="4"/>
      <c r="L82" s="25"/>
      <c r="M82" s="25"/>
      <c r="N82" s="25"/>
      <c r="O82" s="4"/>
    </row>
    <row r="83" spans="1:15" x14ac:dyDescent="0.2">
      <c r="A83" s="4">
        <v>1</v>
      </c>
      <c r="B83" s="4" t="s">
        <v>1158</v>
      </c>
      <c r="C83" s="25"/>
      <c r="D83" s="25"/>
      <c r="E83" s="25"/>
      <c r="F83" s="25"/>
      <c r="G83" s="25"/>
      <c r="H83" s="25"/>
      <c r="I83" s="25"/>
      <c r="J83" s="25"/>
      <c r="K83" s="4"/>
      <c r="L83" s="25"/>
      <c r="M83" s="25"/>
      <c r="N83" s="25"/>
      <c r="O83" s="4"/>
    </row>
    <row r="84" spans="1:15" x14ac:dyDescent="0.2">
      <c r="A84" s="4">
        <v>2</v>
      </c>
      <c r="B84" s="4" t="s">
        <v>1143</v>
      </c>
      <c r="C84" s="25"/>
      <c r="D84" s="25"/>
      <c r="E84" s="25"/>
      <c r="F84" s="25"/>
      <c r="G84" s="25"/>
      <c r="H84" s="25"/>
      <c r="I84" s="25"/>
      <c r="J84" s="25"/>
      <c r="K84" s="4"/>
      <c r="L84" s="25"/>
      <c r="M84" s="25"/>
      <c r="N84" s="25"/>
      <c r="O84" s="4"/>
    </row>
    <row r="85" spans="1:15" x14ac:dyDescent="0.2">
      <c r="A85" s="4"/>
      <c r="B85" s="4" t="s">
        <v>1144</v>
      </c>
      <c r="C85" s="25"/>
      <c r="D85" s="25"/>
      <c r="E85" s="25"/>
      <c r="F85" s="25"/>
      <c r="G85" s="25"/>
      <c r="H85" s="25"/>
      <c r="I85" s="25"/>
      <c r="J85" s="25"/>
      <c r="K85" s="4"/>
      <c r="L85" s="25"/>
      <c r="M85" s="25"/>
      <c r="N85" s="25"/>
      <c r="O85" s="4"/>
    </row>
    <row r="86" spans="1:15" x14ac:dyDescent="0.2">
      <c r="A86" s="4"/>
      <c r="B86" s="4" t="s">
        <v>1145</v>
      </c>
      <c r="C86" s="25"/>
      <c r="D86" s="25"/>
      <c r="E86" s="25"/>
      <c r="F86" s="25"/>
      <c r="G86" s="25"/>
      <c r="H86" s="25"/>
      <c r="I86" s="25"/>
      <c r="J86" s="25"/>
      <c r="K86" s="4"/>
      <c r="L86" s="25"/>
      <c r="M86" s="25"/>
      <c r="N86" s="25"/>
      <c r="O86" s="4"/>
    </row>
    <row r="87" spans="1:15" x14ac:dyDescent="0.2">
      <c r="A87" s="4">
        <v>3</v>
      </c>
      <c r="B87" s="4" t="s">
        <v>1146</v>
      </c>
      <c r="C87" s="25"/>
      <c r="D87" s="25"/>
      <c r="E87" s="25"/>
      <c r="F87" s="25"/>
      <c r="G87" s="25"/>
      <c r="H87" s="25"/>
      <c r="I87" s="25"/>
      <c r="J87" s="25"/>
      <c r="K87" s="4"/>
      <c r="L87" s="25"/>
      <c r="M87" s="25"/>
      <c r="N87" s="25"/>
      <c r="O87" s="4"/>
    </row>
    <row r="88" spans="1:15" x14ac:dyDescent="0.2">
      <c r="A88" s="4">
        <v>4</v>
      </c>
      <c r="B88" s="4" t="s">
        <v>1147</v>
      </c>
      <c r="C88" s="25"/>
      <c r="D88" s="25"/>
      <c r="E88" s="25"/>
      <c r="F88" s="25"/>
      <c r="G88" s="25"/>
      <c r="H88" s="25"/>
      <c r="I88" s="25"/>
      <c r="J88" s="25"/>
      <c r="K88" s="4"/>
      <c r="L88" s="25"/>
      <c r="M88" s="25"/>
      <c r="N88" s="25"/>
      <c r="O88" s="4"/>
    </row>
    <row r="89" spans="1:15" x14ac:dyDescent="0.2">
      <c r="A89" s="4">
        <v>5</v>
      </c>
      <c r="B89" s="4" t="s">
        <v>1148</v>
      </c>
      <c r="C89" s="25"/>
      <c r="D89" s="25"/>
      <c r="E89" s="25"/>
      <c r="F89" s="25"/>
      <c r="G89" s="25"/>
      <c r="H89" s="25"/>
      <c r="I89" s="25"/>
      <c r="J89" s="25"/>
      <c r="K89" s="4"/>
      <c r="L89" s="25"/>
      <c r="M89" s="25"/>
      <c r="N89" s="25"/>
      <c r="O89" s="4"/>
    </row>
    <row r="90" spans="1:15" x14ac:dyDescent="0.2">
      <c r="A90" s="4">
        <v>6</v>
      </c>
      <c r="B90" s="4" t="s">
        <v>1149</v>
      </c>
      <c r="C90" s="25"/>
      <c r="D90" s="25"/>
      <c r="E90" s="25"/>
      <c r="F90" s="25"/>
      <c r="G90" s="25"/>
      <c r="H90" s="25"/>
      <c r="I90" s="25"/>
      <c r="J90" s="25"/>
      <c r="K90" s="4"/>
      <c r="L90" s="25"/>
      <c r="M90" s="25"/>
      <c r="N90" s="25"/>
      <c r="O90" s="4"/>
    </row>
    <row r="91" spans="1:15" x14ac:dyDescent="0.2">
      <c r="A91" s="4">
        <v>7</v>
      </c>
      <c r="B91" s="4" t="s">
        <v>1150</v>
      </c>
      <c r="C91" s="25"/>
      <c r="D91" s="25"/>
      <c r="E91" s="25"/>
      <c r="F91" s="25"/>
      <c r="G91" s="25"/>
      <c r="H91" s="25"/>
      <c r="I91" s="25"/>
      <c r="J91" s="25"/>
      <c r="K91" s="4"/>
      <c r="L91" s="25"/>
      <c r="M91" s="25"/>
      <c r="N91" s="25"/>
      <c r="O91" s="4"/>
    </row>
    <row r="92" spans="1:15" x14ac:dyDescent="0.2">
      <c r="A92" s="4">
        <v>8</v>
      </c>
      <c r="B92" s="4" t="s">
        <v>1151</v>
      </c>
      <c r="C92" s="25"/>
      <c r="D92" s="25"/>
      <c r="E92" s="25"/>
      <c r="F92" s="25"/>
      <c r="G92" s="25"/>
      <c r="H92" s="25"/>
      <c r="I92" s="25"/>
      <c r="J92" s="25"/>
      <c r="K92" s="4"/>
      <c r="L92" s="25"/>
      <c r="M92" s="25"/>
      <c r="N92" s="25"/>
      <c r="O92" s="4"/>
    </row>
    <row r="93" spans="1:15" x14ac:dyDescent="0.2">
      <c r="A93" s="4">
        <v>9</v>
      </c>
      <c r="B93" s="4" t="s">
        <v>1152</v>
      </c>
      <c r="C93" s="25"/>
      <c r="D93" s="25"/>
      <c r="E93" s="25"/>
      <c r="F93" s="25"/>
      <c r="G93" s="25"/>
      <c r="H93" s="25"/>
      <c r="I93" s="25"/>
      <c r="J93" s="25"/>
      <c r="K93" s="4"/>
      <c r="L93" s="25"/>
      <c r="M93" s="25"/>
      <c r="N93" s="25"/>
      <c r="O93" s="4"/>
    </row>
    <row r="94" spans="1:15" x14ac:dyDescent="0.2">
      <c r="A94" s="4">
        <v>10</v>
      </c>
      <c r="B94" s="4" t="s">
        <v>1153</v>
      </c>
      <c r="C94" s="25"/>
      <c r="D94" s="25"/>
      <c r="E94" s="25"/>
      <c r="F94" s="25"/>
      <c r="G94" s="25"/>
      <c r="H94" s="25"/>
      <c r="I94" s="25"/>
      <c r="J94" s="25"/>
      <c r="K94" s="4"/>
      <c r="L94" s="25"/>
      <c r="M94" s="25"/>
      <c r="N94" s="25"/>
      <c r="O94" s="4"/>
    </row>
    <row r="95" spans="1:15" x14ac:dyDescent="0.2">
      <c r="A95" s="4">
        <v>11</v>
      </c>
      <c r="B95" s="4" t="s">
        <v>1154</v>
      </c>
      <c r="C95" s="25"/>
      <c r="D95" s="25"/>
      <c r="E95" s="25"/>
      <c r="F95" s="25"/>
      <c r="G95" s="25"/>
      <c r="H95" s="25"/>
      <c r="I95" s="25"/>
      <c r="J95" s="25"/>
      <c r="K95" s="4"/>
      <c r="L95" s="25"/>
      <c r="M95" s="25"/>
      <c r="N95" s="25"/>
      <c r="O95" s="4"/>
    </row>
    <row r="96" spans="1:15" x14ac:dyDescent="0.2">
      <c r="A96" s="4">
        <v>12</v>
      </c>
      <c r="B96" s="4" t="s">
        <v>1155</v>
      </c>
      <c r="C96" s="25"/>
      <c r="D96" s="25"/>
      <c r="E96" s="25"/>
      <c r="F96" s="25"/>
      <c r="G96" s="25"/>
      <c r="H96" s="25"/>
      <c r="I96" s="25"/>
      <c r="J96" s="25"/>
      <c r="K96" s="4"/>
      <c r="L96" s="25"/>
      <c r="M96" s="25"/>
      <c r="N96" s="25"/>
      <c r="O96" s="4"/>
    </row>
    <row r="97" spans="1:15" x14ac:dyDescent="0.2">
      <c r="A97" s="4">
        <v>13</v>
      </c>
      <c r="B97" s="4" t="s">
        <v>1156</v>
      </c>
      <c r="C97" s="25"/>
      <c r="D97" s="25"/>
      <c r="E97" s="25"/>
      <c r="F97" s="25"/>
      <c r="G97" s="25"/>
      <c r="H97" s="25"/>
      <c r="I97" s="25"/>
      <c r="J97" s="25"/>
      <c r="K97" s="4"/>
      <c r="L97" s="25"/>
      <c r="M97" s="25"/>
      <c r="N97" s="25"/>
      <c r="O97" s="4"/>
    </row>
    <row r="98" spans="1:15" x14ac:dyDescent="0.2">
      <c r="A98" s="4">
        <v>14</v>
      </c>
      <c r="B98" s="4" t="s">
        <v>1157</v>
      </c>
      <c r="C98" s="25"/>
      <c r="D98" s="25"/>
      <c r="E98" s="25"/>
      <c r="F98" s="25"/>
      <c r="G98" s="25"/>
      <c r="H98" s="25"/>
      <c r="I98" s="25"/>
      <c r="J98" s="25"/>
      <c r="K98" s="4"/>
      <c r="L98" s="25"/>
      <c r="M98" s="25"/>
      <c r="N98" s="25"/>
      <c r="O98" s="4"/>
    </row>
    <row r="99" spans="1:15" x14ac:dyDescent="0.2">
      <c r="A99" s="4">
        <v>15</v>
      </c>
      <c r="B99" s="4" t="s">
        <v>1171</v>
      </c>
      <c r="C99" s="25"/>
      <c r="D99" s="25"/>
      <c r="E99" s="25"/>
      <c r="F99" s="25"/>
      <c r="G99" s="25"/>
      <c r="H99" s="25"/>
      <c r="I99" s="25"/>
      <c r="J99" s="25"/>
      <c r="K99" s="4"/>
      <c r="L99" s="25"/>
      <c r="M99" s="25"/>
      <c r="N99" s="25"/>
      <c r="O99" s="4"/>
    </row>
    <row r="100" spans="1:15" x14ac:dyDescent="0.2">
      <c r="A100" s="4"/>
      <c r="B100" s="4"/>
      <c r="C100" s="25"/>
      <c r="D100" s="25"/>
      <c r="E100" s="25"/>
      <c r="F100" s="25"/>
      <c r="G100" s="25"/>
      <c r="H100" s="25"/>
      <c r="I100" s="25"/>
      <c r="J100" s="25"/>
      <c r="K100" s="4"/>
      <c r="L100" s="25"/>
      <c r="M100" s="25"/>
      <c r="N100" s="25"/>
      <c r="O100" s="4"/>
    </row>
    <row r="101" spans="1:15" x14ac:dyDescent="0.2">
      <c r="A101" s="4"/>
      <c r="B101" s="4"/>
      <c r="C101" s="25"/>
      <c r="D101" s="25"/>
      <c r="E101" s="25"/>
      <c r="F101" s="25"/>
      <c r="G101" s="25"/>
      <c r="H101" s="25"/>
      <c r="I101" s="25"/>
      <c r="J101" s="25"/>
      <c r="K101" s="4"/>
      <c r="L101" s="25"/>
      <c r="M101" s="25"/>
      <c r="N101" s="25"/>
      <c r="O101" s="4"/>
    </row>
    <row r="102" spans="1:15" x14ac:dyDescent="0.2">
      <c r="A102" s="4"/>
      <c r="B102" s="4"/>
      <c r="C102" s="25"/>
      <c r="D102" s="25"/>
      <c r="E102" s="25"/>
      <c r="F102" s="25"/>
      <c r="G102" s="25"/>
      <c r="H102" s="25"/>
      <c r="I102" s="25"/>
      <c r="J102" s="25"/>
      <c r="K102" s="4"/>
      <c r="L102" s="25"/>
      <c r="M102" s="25"/>
      <c r="N102" s="25"/>
      <c r="O102" s="4"/>
    </row>
    <row r="103" spans="1:15" x14ac:dyDescent="0.2">
      <c r="A103" s="4"/>
      <c r="B103" s="4"/>
      <c r="C103" s="25"/>
      <c r="D103" s="25"/>
      <c r="E103" s="25"/>
      <c r="F103" s="25"/>
      <c r="G103" s="25"/>
      <c r="H103" s="25"/>
      <c r="I103" s="25"/>
      <c r="J103" s="25"/>
      <c r="K103" s="4"/>
      <c r="L103" s="25"/>
      <c r="M103" s="25"/>
      <c r="N103" s="25"/>
      <c r="O103" s="4"/>
    </row>
    <row r="104" spans="1:15" x14ac:dyDescent="0.2">
      <c r="A104" s="4"/>
      <c r="B104" s="4"/>
      <c r="C104" s="25"/>
      <c r="D104" s="25"/>
      <c r="E104" s="25"/>
      <c r="F104" s="25"/>
      <c r="G104" s="25"/>
      <c r="H104" s="25"/>
      <c r="I104" s="25"/>
      <c r="J104" s="25"/>
      <c r="K104" s="4"/>
      <c r="L104" s="25"/>
      <c r="M104" s="25"/>
      <c r="N104" s="25"/>
      <c r="O104" s="4"/>
    </row>
    <row r="105" spans="1:15" x14ac:dyDescent="0.2">
      <c r="A105" s="4"/>
      <c r="B105" s="4"/>
      <c r="C105" s="25"/>
      <c r="D105" s="25"/>
      <c r="E105" s="25"/>
      <c r="F105" s="25"/>
      <c r="G105" s="25"/>
      <c r="H105" s="25"/>
      <c r="I105" s="25"/>
      <c r="J105" s="25"/>
      <c r="K105" s="4"/>
      <c r="L105" s="25"/>
      <c r="M105" s="25"/>
      <c r="N105" s="25"/>
      <c r="O105" s="4"/>
    </row>
    <row r="106" spans="1:15" x14ac:dyDescent="0.2">
      <c r="A106" s="4"/>
      <c r="B106" s="4"/>
      <c r="C106" s="25"/>
      <c r="D106" s="25"/>
      <c r="E106" s="25"/>
      <c r="F106" s="25"/>
      <c r="G106" s="25"/>
      <c r="H106" s="25"/>
      <c r="I106" s="25"/>
      <c r="J106" s="25"/>
      <c r="K106" s="4"/>
      <c r="L106" s="25"/>
      <c r="M106" s="25"/>
      <c r="N106" s="25"/>
      <c r="O106" s="4"/>
    </row>
    <row r="107" spans="1:15" x14ac:dyDescent="0.2">
      <c r="A107" s="4"/>
      <c r="B107" s="4"/>
      <c r="C107" s="25"/>
      <c r="D107" s="25"/>
      <c r="E107" s="25"/>
      <c r="F107" s="25"/>
      <c r="G107" s="25"/>
      <c r="H107" s="25"/>
      <c r="I107" s="25"/>
      <c r="J107" s="25"/>
      <c r="K107" s="4"/>
      <c r="L107" s="25"/>
      <c r="M107" s="25"/>
      <c r="N107" s="25"/>
      <c r="O107" s="4"/>
    </row>
    <row r="108" spans="1:15" x14ac:dyDescent="0.2">
      <c r="A108" s="4"/>
      <c r="B108" s="4"/>
      <c r="C108" s="25"/>
      <c r="D108" s="25"/>
      <c r="E108" s="25"/>
      <c r="F108" s="25"/>
      <c r="G108" s="25"/>
      <c r="H108" s="25"/>
      <c r="I108" s="25"/>
      <c r="J108" s="25"/>
      <c r="K108" s="4"/>
      <c r="L108" s="25"/>
      <c r="M108" s="25"/>
      <c r="N108" s="25"/>
      <c r="O108" s="4"/>
    </row>
    <row r="109" spans="1:15" x14ac:dyDescent="0.2">
      <c r="A109" s="4"/>
      <c r="B109" s="4"/>
      <c r="C109" s="25"/>
      <c r="D109" s="25"/>
      <c r="E109" s="25"/>
      <c r="F109" s="25"/>
      <c r="G109" s="25"/>
      <c r="H109" s="25"/>
      <c r="I109" s="25"/>
      <c r="J109" s="25"/>
      <c r="K109" s="4"/>
      <c r="L109" s="25"/>
      <c r="M109" s="25"/>
      <c r="N109" s="25"/>
      <c r="O109" s="4"/>
    </row>
    <row r="110" spans="1:15" x14ac:dyDescent="0.2">
      <c r="C110" s="121"/>
    </row>
    <row r="111" spans="1:15" x14ac:dyDescent="0.2">
      <c r="C111" s="121"/>
    </row>
    <row r="112" spans="1:15"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row r="128" spans="3:3"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sheetData>
  <phoneticPr fontId="0" type="noConversion"/>
  <hyperlinks>
    <hyperlink ref="A1" location="'Working Budget with funding det'!A1" display="Main "/>
    <hyperlink ref="B1" location="'Table of Contents'!A1" display="TOC"/>
  </hyperlinks>
  <pageMargins left="0.75" right="0.75" top="1" bottom="1" header="0.5" footer="0.5"/>
  <pageSetup scale="99" fitToHeight="2" orientation="landscape" horizontalDpi="300" verticalDpi="300" r:id="rId1"/>
  <headerFooter alignWithMargins="0">
    <oddFooter>&amp;L&amp;D     &amp;T&amp;C&amp;F&amp;R&amp;A  &amp;P</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4"/>
  <sheetViews>
    <sheetView zoomScale="85" zoomScaleNormal="85" workbookViewId="0">
      <pane ySplit="7" topLeftCell="A9" activePane="bottomLeft" state="frozen"/>
      <selection activeCell="K15" sqref="K15"/>
      <selection pane="bottomLeft" activeCell="A78" sqref="A78"/>
    </sheetView>
  </sheetViews>
  <sheetFormatPr defaultRowHeight="12.75" x14ac:dyDescent="0.2"/>
  <cols>
    <col min="1" max="1" width="11.6640625" customWidth="1"/>
    <col min="2" max="2" width="36.6640625" customWidth="1"/>
    <col min="3" max="3" width="14.5" style="1" hidden="1" customWidth="1"/>
    <col min="4" max="7" width="14.5" style="121" hidden="1" customWidth="1"/>
    <col min="8" max="10" width="14.5" style="121" customWidth="1"/>
    <col min="11" max="11" width="14.5" customWidth="1"/>
    <col min="12" max="14" width="14.5" style="1" customWidth="1"/>
    <col min="15" max="15" width="15.1640625" customWidth="1"/>
    <col min="16" max="17" width="14.5" customWidth="1"/>
    <col min="18" max="18" width="14.6640625" style="2" customWidth="1"/>
    <col min="19" max="19" width="10.5" bestFit="1" customWidth="1"/>
  </cols>
  <sheetData>
    <row r="1" spans="1:17" x14ac:dyDescent="0.2">
      <c r="A1" s="410" t="s">
        <v>1013</v>
      </c>
      <c r="B1" s="410" t="s">
        <v>1418</v>
      </c>
      <c r="N1"/>
    </row>
    <row r="2" spans="1:17" ht="15" x14ac:dyDescent="0.25">
      <c r="A2" s="49" t="s">
        <v>254</v>
      </c>
      <c r="B2" s="49"/>
      <c r="E2" s="153"/>
      <c r="H2" s="153" t="s">
        <v>252</v>
      </c>
      <c r="I2" s="153"/>
      <c r="J2" s="153"/>
      <c r="K2" s="67" t="s">
        <v>353</v>
      </c>
      <c r="M2" s="50" t="s">
        <v>474</v>
      </c>
    </row>
    <row r="3" spans="1:17" ht="13.5" thickBot="1" x14ac:dyDescent="0.25">
      <c r="A3" s="4"/>
      <c r="B3" s="4"/>
      <c r="C3" s="25"/>
      <c r="D3" s="25"/>
      <c r="E3" s="25"/>
      <c r="F3" s="25"/>
      <c r="G3" s="25"/>
      <c r="H3" s="25"/>
      <c r="I3" s="25"/>
      <c r="J3" s="25"/>
      <c r="K3" s="4"/>
      <c r="L3" s="25"/>
      <c r="M3" s="4"/>
      <c r="N3" s="4"/>
      <c r="Q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318"/>
      <c r="J5" s="318"/>
      <c r="K5" s="120" t="s">
        <v>509</v>
      </c>
      <c r="L5" s="95" t="s">
        <v>7</v>
      </c>
      <c r="M5" s="209" t="s">
        <v>783</v>
      </c>
    </row>
    <row r="6" spans="1:17" x14ac:dyDescent="0.2">
      <c r="A6" s="93"/>
      <c r="B6" s="216"/>
      <c r="C6" s="137"/>
      <c r="D6" s="137"/>
      <c r="E6" s="137"/>
      <c r="F6" s="94"/>
      <c r="G6" s="137"/>
      <c r="H6" s="137"/>
      <c r="I6" s="95"/>
      <c r="J6" s="95"/>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7" ht="13.5" thickTop="1" x14ac:dyDescent="0.2">
      <c r="A8" s="30"/>
      <c r="B8" s="218"/>
      <c r="C8" s="142"/>
      <c r="D8" s="19"/>
      <c r="E8" s="19"/>
      <c r="F8" s="19"/>
      <c r="G8" s="19"/>
      <c r="H8" s="19"/>
      <c r="I8" s="19"/>
      <c r="J8" s="20"/>
      <c r="K8" s="19"/>
      <c r="L8" s="20"/>
      <c r="M8" s="20"/>
    </row>
    <row r="9" spans="1:17" x14ac:dyDescent="0.2">
      <c r="A9" s="12">
        <v>5111</v>
      </c>
      <c r="B9" s="69" t="s">
        <v>684</v>
      </c>
      <c r="C9" s="140">
        <v>131608</v>
      </c>
      <c r="D9" s="14">
        <v>136232.44</v>
      </c>
      <c r="E9" s="14">
        <v>139812.09</v>
      </c>
      <c r="F9" s="14">
        <v>143256.26999999999</v>
      </c>
      <c r="G9" s="14">
        <v>141646.53</v>
      </c>
      <c r="H9" s="14">
        <v>133779.4</v>
      </c>
      <c r="I9" s="14">
        <v>137937.79999999999</v>
      </c>
      <c r="J9" s="15">
        <f>2719+643+141754</f>
        <v>145116</v>
      </c>
      <c r="K9" s="14">
        <v>68355.399999999994</v>
      </c>
      <c r="L9" s="15">
        <f>ROUND((+K41+K43+K44+K45),2)+1</f>
        <v>153813.21</v>
      </c>
      <c r="M9" s="15"/>
    </row>
    <row r="10" spans="1:17" x14ac:dyDescent="0.2">
      <c r="A10" s="12">
        <v>5113</v>
      </c>
      <c r="B10" s="69" t="s">
        <v>685</v>
      </c>
      <c r="C10" s="140">
        <v>15961.4</v>
      </c>
      <c r="D10" s="14">
        <v>17462.41</v>
      </c>
      <c r="E10" s="14">
        <v>18590.79</v>
      </c>
      <c r="F10" s="14">
        <v>19711.2</v>
      </c>
      <c r="G10" s="14">
        <v>22812.32</v>
      </c>
      <c r="H10" s="14">
        <v>22997.21</v>
      </c>
      <c r="I10" s="14">
        <v>26904.959999999999</v>
      </c>
      <c r="J10" s="15">
        <f>262+26066</f>
        <v>26328</v>
      </c>
      <c r="K10" s="14">
        <v>13211.51</v>
      </c>
      <c r="L10" s="15">
        <f>ROUND((+K46+K47),0)</f>
        <v>22052</v>
      </c>
      <c r="M10" s="15"/>
    </row>
    <row r="11" spans="1:17" x14ac:dyDescent="0.2">
      <c r="A11" s="12">
        <v>5113</v>
      </c>
      <c r="B11" s="69" t="s">
        <v>782</v>
      </c>
      <c r="C11" s="263"/>
      <c r="D11" s="39"/>
      <c r="E11" s="39"/>
      <c r="F11" s="39"/>
      <c r="G11" s="39"/>
      <c r="H11" s="39"/>
      <c r="I11" s="39"/>
      <c r="J11" s="135">
        <v>1200</v>
      </c>
      <c r="K11" s="39"/>
      <c r="L11" s="135">
        <v>1200</v>
      </c>
      <c r="M11" s="135"/>
    </row>
    <row r="12" spans="1:17" x14ac:dyDescent="0.2">
      <c r="A12" s="12">
        <v>5144</v>
      </c>
      <c r="B12" s="69" t="s">
        <v>152</v>
      </c>
      <c r="C12" s="140">
        <v>200</v>
      </c>
      <c r="D12" s="14">
        <v>850</v>
      </c>
      <c r="E12" s="14">
        <v>850</v>
      </c>
      <c r="F12" s="14">
        <v>850</v>
      </c>
      <c r="G12" s="14">
        <v>1600</v>
      </c>
      <c r="H12" s="14">
        <v>1700</v>
      </c>
      <c r="I12" s="14">
        <v>2000</v>
      </c>
      <c r="J12" s="132">
        <v>2000</v>
      </c>
      <c r="K12" s="14">
        <v>900</v>
      </c>
      <c r="L12" s="132">
        <f>+N48</f>
        <v>2000</v>
      </c>
      <c r="M12" s="132"/>
    </row>
    <row r="13" spans="1:17" x14ac:dyDescent="0.2">
      <c r="A13" s="12">
        <v>5145</v>
      </c>
      <c r="B13" s="69" t="s">
        <v>598</v>
      </c>
      <c r="C13" s="140"/>
      <c r="D13" s="14"/>
      <c r="E13" s="14"/>
      <c r="F13" s="14"/>
      <c r="G13" s="14"/>
      <c r="H13" s="14">
        <v>40.39</v>
      </c>
      <c r="I13" s="14">
        <v>300.04000000000002</v>
      </c>
      <c r="J13" s="132">
        <v>300</v>
      </c>
      <c r="K13" s="14">
        <v>144.25</v>
      </c>
      <c r="L13" s="132">
        <v>300</v>
      </c>
      <c r="M13" s="135"/>
    </row>
    <row r="14" spans="1:17" x14ac:dyDescent="0.2">
      <c r="A14" s="30">
        <v>5193</v>
      </c>
      <c r="B14" s="117" t="s">
        <v>695</v>
      </c>
      <c r="C14" s="811"/>
      <c r="D14" s="32"/>
      <c r="E14" s="32"/>
      <c r="F14" s="32"/>
      <c r="G14" s="32"/>
      <c r="H14" s="32"/>
      <c r="I14" s="32"/>
      <c r="J14" s="154"/>
      <c r="K14" s="32"/>
      <c r="L14" s="154">
        <v>3875</v>
      </c>
      <c r="M14" s="135"/>
    </row>
    <row r="15" spans="1:17" ht="13.5" thickBot="1" x14ac:dyDescent="0.25">
      <c r="A15" s="12">
        <v>5194</v>
      </c>
      <c r="B15" s="69" t="s">
        <v>221</v>
      </c>
      <c r="C15" s="141"/>
      <c r="D15" s="16"/>
      <c r="E15" s="16"/>
      <c r="F15" s="16"/>
      <c r="G15" s="16"/>
      <c r="H15" s="16"/>
      <c r="I15" s="16"/>
      <c r="J15" s="133"/>
      <c r="K15" s="16"/>
      <c r="L15" s="133">
        <v>3500</v>
      </c>
      <c r="M15" s="133"/>
    </row>
    <row r="16" spans="1:17" x14ac:dyDescent="0.2">
      <c r="A16" s="12"/>
      <c r="B16" s="70" t="s">
        <v>125</v>
      </c>
      <c r="C16" s="142">
        <f t="shared" ref="C16:E16" si="0">SUM(C9:C12)</f>
        <v>147769.4</v>
      </c>
      <c r="D16" s="19">
        <f t="shared" si="0"/>
        <v>154544.85</v>
      </c>
      <c r="E16" s="19">
        <f t="shared" si="0"/>
        <v>159252.88</v>
      </c>
      <c r="F16" s="19">
        <f>SUM(F9:F12)</f>
        <v>163817.47</v>
      </c>
      <c r="G16" s="19">
        <f>SUM(G9:G12)</f>
        <v>166058.85</v>
      </c>
      <c r="H16" s="19">
        <f>SUM(H9:H15)</f>
        <v>158517</v>
      </c>
      <c r="I16" s="19">
        <f>SUM(I9:I15)</f>
        <v>167142.79999999999</v>
      </c>
      <c r="J16" s="134">
        <f>SUM(J9:J15)</f>
        <v>174944</v>
      </c>
      <c r="K16" s="19">
        <f>SUM(K9:K15)</f>
        <v>82611.159999999989</v>
      </c>
      <c r="L16" s="134">
        <f>SUM(L9:L15)</f>
        <v>186740.21</v>
      </c>
      <c r="M16" s="134">
        <f>SUM(M9:M12)</f>
        <v>0</v>
      </c>
    </row>
    <row r="17" spans="1:13" x14ac:dyDescent="0.2">
      <c r="A17" s="12"/>
      <c r="B17" s="69"/>
      <c r="C17" s="140"/>
      <c r="D17" s="14"/>
      <c r="E17" s="14"/>
      <c r="F17" s="14"/>
      <c r="G17" s="14"/>
      <c r="H17" s="14"/>
      <c r="I17" s="14"/>
      <c r="J17" s="132"/>
      <c r="K17" s="14"/>
      <c r="L17" s="132"/>
      <c r="M17" s="15"/>
    </row>
    <row r="18" spans="1:13" hidden="1" x14ac:dyDescent="0.2">
      <c r="A18" s="12">
        <v>5305</v>
      </c>
      <c r="B18" s="69" t="s">
        <v>143</v>
      </c>
      <c r="C18" s="140"/>
      <c r="D18" s="14">
        <v>0</v>
      </c>
      <c r="E18" s="14"/>
      <c r="F18" s="14"/>
      <c r="G18" s="14"/>
      <c r="H18" s="14"/>
      <c r="I18" s="156">
        <v>0</v>
      </c>
      <c r="J18" s="132">
        <v>0</v>
      </c>
      <c r="K18" s="14"/>
      <c r="L18" s="132">
        <v>0</v>
      </c>
      <c r="M18" s="132"/>
    </row>
    <row r="19" spans="1:13" x14ac:dyDescent="0.2">
      <c r="A19" s="12">
        <v>5306</v>
      </c>
      <c r="B19" s="69" t="s">
        <v>722</v>
      </c>
      <c r="C19" s="140">
        <v>4620</v>
      </c>
      <c r="D19" s="14">
        <v>4620</v>
      </c>
      <c r="E19" s="14">
        <v>5451</v>
      </c>
      <c r="F19" s="14">
        <v>5451</v>
      </c>
      <c r="G19" s="14">
        <v>4851</v>
      </c>
      <c r="H19" s="14">
        <v>5451</v>
      </c>
      <c r="I19" s="156">
        <v>5233.8</v>
      </c>
      <c r="J19" s="132">
        <v>6200</v>
      </c>
      <c r="K19" s="14">
        <v>6184</v>
      </c>
      <c r="L19" s="132">
        <v>7200</v>
      </c>
      <c r="M19" s="132"/>
    </row>
    <row r="20" spans="1:13" x14ac:dyDescent="0.2">
      <c r="A20" s="12">
        <v>5314</v>
      </c>
      <c r="B20" s="69" t="s">
        <v>134</v>
      </c>
      <c r="C20" s="140"/>
      <c r="D20" s="14">
        <v>110</v>
      </c>
      <c r="E20" s="14"/>
      <c r="F20" s="14"/>
      <c r="G20" s="14">
        <v>75</v>
      </c>
      <c r="H20" s="14">
        <v>95</v>
      </c>
      <c r="I20" s="14">
        <v>345</v>
      </c>
      <c r="J20" s="44">
        <v>200</v>
      </c>
      <c r="K20" s="14">
        <v>95</v>
      </c>
      <c r="L20" s="44">
        <v>200</v>
      </c>
      <c r="M20" s="132"/>
    </row>
    <row r="21" spans="1:13" x14ac:dyDescent="0.2">
      <c r="A21" s="12">
        <v>5315</v>
      </c>
      <c r="B21" s="13" t="s">
        <v>1046</v>
      </c>
      <c r="C21" s="14"/>
      <c r="D21" s="14"/>
      <c r="E21" s="14"/>
      <c r="F21" s="14"/>
      <c r="G21" s="14"/>
      <c r="H21" s="14">
        <v>1600</v>
      </c>
      <c r="I21" s="25">
        <v>550</v>
      </c>
      <c r="J21" s="84">
        <v>2200</v>
      </c>
      <c r="K21" s="14">
        <v>550</v>
      </c>
      <c r="L21" s="84">
        <v>2200</v>
      </c>
      <c r="M21" s="132"/>
    </row>
    <row r="22" spans="1:13" hidden="1" x14ac:dyDescent="0.2">
      <c r="A22" s="12">
        <v>5341</v>
      </c>
      <c r="B22" s="13" t="s">
        <v>136</v>
      </c>
      <c r="C22" s="14">
        <v>425.78</v>
      </c>
      <c r="D22" s="14">
        <v>415.92</v>
      </c>
      <c r="E22" s="14">
        <v>414.96</v>
      </c>
      <c r="F22" s="14">
        <v>392.85</v>
      </c>
      <c r="G22" s="14">
        <v>523.09</v>
      </c>
      <c r="H22" s="14"/>
      <c r="I22" s="156"/>
      <c r="J22" s="132"/>
      <c r="K22" s="14"/>
      <c r="L22" s="132"/>
      <c r="M22" s="132"/>
    </row>
    <row r="23" spans="1:13" x14ac:dyDescent="0.2">
      <c r="A23" s="12">
        <v>5344</v>
      </c>
      <c r="B23" s="13" t="s">
        <v>137</v>
      </c>
      <c r="C23" s="14">
        <v>12123.38</v>
      </c>
      <c r="D23" s="14">
        <v>12087.96</v>
      </c>
      <c r="E23" s="14">
        <v>13215.57</v>
      </c>
      <c r="F23" s="14">
        <v>13906.85</v>
      </c>
      <c r="G23" s="14">
        <v>12997.21</v>
      </c>
      <c r="H23" s="14">
        <v>14485.3</v>
      </c>
      <c r="I23" s="156">
        <v>13397.79</v>
      </c>
      <c r="J23" s="132">
        <v>14000</v>
      </c>
      <c r="K23" s="14">
        <v>9049.9500000000007</v>
      </c>
      <c r="L23" s="132">
        <v>14000</v>
      </c>
      <c r="M23" s="132"/>
    </row>
    <row r="24" spans="1:13" x14ac:dyDescent="0.2">
      <c r="A24" s="12">
        <v>5345</v>
      </c>
      <c r="B24" s="13" t="s">
        <v>138</v>
      </c>
      <c r="C24" s="19"/>
      <c r="D24" s="19"/>
      <c r="E24" s="19"/>
      <c r="F24" s="19"/>
      <c r="G24" s="19">
        <v>1861.8</v>
      </c>
      <c r="H24" s="19"/>
      <c r="I24" s="136"/>
      <c r="J24" s="134"/>
      <c r="K24" s="19"/>
      <c r="L24" s="134">
        <v>750</v>
      </c>
      <c r="M24" s="134"/>
    </row>
    <row r="25" spans="1:13" x14ac:dyDescent="0.2">
      <c r="A25" s="12">
        <v>5420</v>
      </c>
      <c r="B25" s="13" t="s">
        <v>139</v>
      </c>
      <c r="C25" s="19">
        <v>4414.04</v>
      </c>
      <c r="D25" s="19">
        <v>6221.32</v>
      </c>
      <c r="E25" s="19">
        <v>3872.38</v>
      </c>
      <c r="F25" s="19">
        <v>4961.75</v>
      </c>
      <c r="G25" s="19">
        <v>5246.18</v>
      </c>
      <c r="H25" s="19">
        <v>4720.84</v>
      </c>
      <c r="I25" s="136">
        <v>6197.54</v>
      </c>
      <c r="J25" s="134">
        <v>5500</v>
      </c>
      <c r="K25" s="19">
        <v>3510.92</v>
      </c>
      <c r="L25" s="134">
        <v>6600</v>
      </c>
      <c r="M25" s="134"/>
    </row>
    <row r="26" spans="1:13" x14ac:dyDescent="0.2">
      <c r="A26" s="12">
        <v>5590</v>
      </c>
      <c r="B26" s="13" t="s">
        <v>990</v>
      </c>
      <c r="C26" s="19"/>
      <c r="D26" s="19"/>
      <c r="E26" s="19"/>
      <c r="F26" s="19">
        <v>2000.7</v>
      </c>
      <c r="G26" s="19">
        <v>594</v>
      </c>
      <c r="H26" s="19">
        <v>4274.05</v>
      </c>
      <c r="I26" s="136"/>
      <c r="J26" s="134"/>
      <c r="K26" s="19"/>
      <c r="L26" s="134"/>
      <c r="M26" s="134"/>
    </row>
    <row r="27" spans="1:13" x14ac:dyDescent="0.2">
      <c r="A27" s="12">
        <v>5710</v>
      </c>
      <c r="B27" s="13" t="s">
        <v>529</v>
      </c>
      <c r="C27" s="19">
        <v>916.62</v>
      </c>
      <c r="D27" s="19">
        <v>1018.29</v>
      </c>
      <c r="E27" s="19">
        <v>763.19</v>
      </c>
      <c r="F27" s="19">
        <v>779.21</v>
      </c>
      <c r="G27" s="19">
        <v>779.53</v>
      </c>
      <c r="H27" s="19">
        <v>624.79</v>
      </c>
      <c r="I27" s="136">
        <v>687.04</v>
      </c>
      <c r="J27" s="134">
        <v>750</v>
      </c>
      <c r="K27" s="19">
        <v>197.78</v>
      </c>
      <c r="L27" s="134">
        <v>750</v>
      </c>
      <c r="M27" s="134"/>
    </row>
    <row r="28" spans="1:13" x14ac:dyDescent="0.2">
      <c r="A28" s="12">
        <v>5730</v>
      </c>
      <c r="B28" s="13" t="s">
        <v>142</v>
      </c>
      <c r="C28" s="14">
        <v>100</v>
      </c>
      <c r="D28" s="14">
        <v>100</v>
      </c>
      <c r="E28" s="14">
        <v>60</v>
      </c>
      <c r="F28" s="14">
        <v>60</v>
      </c>
      <c r="G28" s="14">
        <v>85</v>
      </c>
      <c r="H28" s="14">
        <v>60</v>
      </c>
      <c r="I28" s="156">
        <v>90</v>
      </c>
      <c r="J28" s="132">
        <v>120</v>
      </c>
      <c r="K28" s="14">
        <v>60</v>
      </c>
      <c r="L28" s="132">
        <v>120</v>
      </c>
      <c r="M28" s="132"/>
    </row>
    <row r="29" spans="1:13" x14ac:dyDescent="0.2">
      <c r="A29" s="12">
        <v>5740</v>
      </c>
      <c r="B29" s="13" t="s">
        <v>149</v>
      </c>
      <c r="C29" s="14">
        <v>2197.5</v>
      </c>
      <c r="D29" s="14">
        <v>2197.5</v>
      </c>
      <c r="E29" s="14">
        <v>2197.5</v>
      </c>
      <c r="F29" s="14">
        <v>2197.5</v>
      </c>
      <c r="G29" s="14">
        <v>2892.11</v>
      </c>
      <c r="H29" s="14">
        <v>2960</v>
      </c>
      <c r="I29" s="156">
        <v>2960</v>
      </c>
      <c r="J29" s="132">
        <v>3000</v>
      </c>
      <c r="K29" s="14">
        <v>100</v>
      </c>
      <c r="L29" s="132">
        <v>3000</v>
      </c>
      <c r="M29" s="132"/>
    </row>
    <row r="30" spans="1:13" ht="13.5" thickBot="1" x14ac:dyDescent="0.25">
      <c r="A30" s="12">
        <v>5781</v>
      </c>
      <c r="B30" s="13" t="s">
        <v>150</v>
      </c>
      <c r="C30" s="16">
        <v>18473.189999999999</v>
      </c>
      <c r="D30" s="16">
        <v>15994.06</v>
      </c>
      <c r="E30" s="16">
        <v>21530.9</v>
      </c>
      <c r="F30" s="16">
        <v>24467.47</v>
      </c>
      <c r="G30" s="16">
        <v>17736.900000000001</v>
      </c>
      <c r="H30" s="16">
        <v>15882.35</v>
      </c>
      <c r="I30" s="349">
        <v>10222.24</v>
      </c>
      <c r="J30" s="133">
        <v>18000</v>
      </c>
      <c r="K30" s="16">
        <v>5200.49</v>
      </c>
      <c r="L30" s="133">
        <v>18000</v>
      </c>
      <c r="M30" s="133"/>
    </row>
    <row r="31" spans="1:13" x14ac:dyDescent="0.2">
      <c r="A31" s="12"/>
      <c r="B31" s="18" t="s">
        <v>442</v>
      </c>
      <c r="C31" s="14">
        <f t="shared" ref="C31:K31" si="1">SUM(C18:C30)</f>
        <v>43270.509999999995</v>
      </c>
      <c r="D31" s="14">
        <f t="shared" si="1"/>
        <v>42765.049999999996</v>
      </c>
      <c r="E31" s="14">
        <f t="shared" si="1"/>
        <v>47505.5</v>
      </c>
      <c r="F31" s="14">
        <f>SUM(F18:F30)</f>
        <v>54217.33</v>
      </c>
      <c r="G31" s="14">
        <f>SUM(G18:G30)</f>
        <v>47641.82</v>
      </c>
      <c r="H31" s="14">
        <f>SUM(H18:H30)</f>
        <v>50153.329999999994</v>
      </c>
      <c r="I31" s="14">
        <f t="shared" si="1"/>
        <v>39683.410000000003</v>
      </c>
      <c r="J31" s="15">
        <f>SUM(J18:J30)</f>
        <v>49970</v>
      </c>
      <c r="K31" s="14">
        <f t="shared" si="1"/>
        <v>24948.14</v>
      </c>
      <c r="L31" s="15">
        <f>SUM(L18:L30)</f>
        <v>52820</v>
      </c>
      <c r="M31" s="15">
        <f>SUM(M18:M30)</f>
        <v>0</v>
      </c>
    </row>
    <row r="32" spans="1:13" x14ac:dyDescent="0.2">
      <c r="A32" s="12"/>
      <c r="B32" s="13"/>
      <c r="C32" s="14"/>
      <c r="D32" s="14"/>
      <c r="E32" s="14"/>
      <c r="F32" s="14"/>
      <c r="G32" s="14"/>
      <c r="H32" s="14"/>
      <c r="I32" s="14"/>
      <c r="J32" s="15"/>
      <c r="K32" s="14"/>
      <c r="L32" s="15"/>
      <c r="M32" s="15"/>
    </row>
    <row r="33" spans="1:17" ht="13.5" thickBot="1" x14ac:dyDescent="0.25">
      <c r="A33" s="21"/>
      <c r="B33" s="22" t="s">
        <v>280</v>
      </c>
      <c r="C33" s="23">
        <f t="shared" ref="C33:K33" si="2">+C31+C16</f>
        <v>191039.90999999997</v>
      </c>
      <c r="D33" s="23">
        <f t="shared" si="2"/>
        <v>197309.9</v>
      </c>
      <c r="E33" s="23">
        <f t="shared" si="2"/>
        <v>206758.38</v>
      </c>
      <c r="F33" s="23">
        <f>+F31+F16</f>
        <v>218034.8</v>
      </c>
      <c r="G33" s="23">
        <f>+G31+G16</f>
        <v>213700.67</v>
      </c>
      <c r="H33" s="23">
        <f>+H31+H16</f>
        <v>208670.33</v>
      </c>
      <c r="I33" s="23">
        <f t="shared" si="2"/>
        <v>206826.21</v>
      </c>
      <c r="J33" s="43">
        <f>+J31+J16</f>
        <v>224914</v>
      </c>
      <c r="K33" s="23">
        <f t="shared" si="2"/>
        <v>107559.29999999999</v>
      </c>
      <c r="L33" s="43">
        <f>+L31+L16</f>
        <v>239560.21</v>
      </c>
      <c r="M33" s="43">
        <f>+L33</f>
        <v>239560.21</v>
      </c>
    </row>
    <row r="34" spans="1:17" ht="16.5" thickTop="1" x14ac:dyDescent="0.25">
      <c r="A34" s="4"/>
      <c r="B34" s="4"/>
      <c r="C34" s="25"/>
      <c r="D34" s="25"/>
      <c r="E34" s="25"/>
      <c r="F34" s="25"/>
      <c r="G34" s="25"/>
      <c r="H34" s="25"/>
      <c r="I34" s="25"/>
      <c r="J34" s="25"/>
      <c r="K34" s="29"/>
      <c r="L34" s="25"/>
      <c r="M34" s="84"/>
      <c r="N34" s="25"/>
      <c r="O34" s="29"/>
      <c r="P34" s="214"/>
      <c r="Q34" s="29"/>
    </row>
    <row r="35" spans="1:17" x14ac:dyDescent="0.2">
      <c r="A35" s="72">
        <v>43782</v>
      </c>
      <c r="B35" s="4" t="s">
        <v>1406</v>
      </c>
      <c r="C35" s="25"/>
      <c r="D35" s="25"/>
      <c r="E35" s="25"/>
      <c r="F35" s="25"/>
      <c r="G35" s="25"/>
      <c r="H35" s="25"/>
      <c r="I35" s="25"/>
      <c r="J35" s="25"/>
      <c r="K35" s="29"/>
      <c r="L35" s="25"/>
      <c r="M35" s="84"/>
      <c r="N35" s="29"/>
      <c r="O35" s="29"/>
      <c r="P35" s="29"/>
      <c r="Q35" s="29"/>
    </row>
    <row r="36" spans="1:17" x14ac:dyDescent="0.2">
      <c r="A36" s="72"/>
      <c r="B36" s="4"/>
      <c r="C36" s="25"/>
      <c r="D36" s="25"/>
      <c r="E36" s="25"/>
      <c r="F36" s="25"/>
      <c r="G36" s="25"/>
      <c r="H36" s="25"/>
      <c r="I36" s="25"/>
      <c r="J36" s="25"/>
      <c r="K36" s="29"/>
      <c r="L36" s="25"/>
      <c r="M36" s="84"/>
      <c r="N36" s="29"/>
      <c r="O36" s="29"/>
      <c r="P36" s="29"/>
      <c r="Q36" s="29"/>
    </row>
    <row r="37" spans="1:17" x14ac:dyDescent="0.2">
      <c r="A37" s="4" t="s">
        <v>521</v>
      </c>
      <c r="B37" s="4"/>
    </row>
    <row r="38" spans="1:17" ht="13.5" thickBot="1" x14ac:dyDescent="0.25">
      <c r="A38" s="4"/>
      <c r="B38" s="4"/>
    </row>
    <row r="39" spans="1:17" ht="13.5" thickTop="1" x14ac:dyDescent="0.2">
      <c r="A39" s="162" t="s">
        <v>883</v>
      </c>
      <c r="B39" s="114"/>
      <c r="H39" s="162" t="s">
        <v>84</v>
      </c>
      <c r="I39" s="169" t="s">
        <v>33</v>
      </c>
      <c r="J39" s="182"/>
      <c r="K39" s="171" t="s">
        <v>578</v>
      </c>
      <c r="L39"/>
      <c r="M39" s="220" t="s">
        <v>336</v>
      </c>
      <c r="N39"/>
    </row>
    <row r="40" spans="1:17" ht="13.5" thickBot="1" x14ac:dyDescent="0.25">
      <c r="A40" s="392" t="s">
        <v>884</v>
      </c>
      <c r="B40" s="116" t="s">
        <v>522</v>
      </c>
      <c r="H40" s="173" t="s">
        <v>577</v>
      </c>
      <c r="I40" s="172" t="s">
        <v>575</v>
      </c>
      <c r="J40" s="173" t="s">
        <v>34</v>
      </c>
      <c r="K40" s="173" t="s">
        <v>101</v>
      </c>
      <c r="L40" s="246" t="s">
        <v>335</v>
      </c>
      <c r="M40" s="246" t="s">
        <v>900</v>
      </c>
      <c r="N40" s="246" t="s">
        <v>337</v>
      </c>
    </row>
    <row r="41" spans="1:17" ht="13.5" thickTop="1" x14ac:dyDescent="0.2">
      <c r="A41" s="164">
        <v>42674</v>
      </c>
      <c r="B41" s="117" t="s">
        <v>444</v>
      </c>
      <c r="H41" s="19" t="s">
        <v>1007</v>
      </c>
      <c r="I41" s="117"/>
      <c r="J41" s="20"/>
      <c r="K41" s="359">
        <f>+'NAGE &amp; Non-Union Wages'!H10</f>
        <v>68963</v>
      </c>
      <c r="L41"/>
      <c r="M41"/>
      <c r="N41" s="2"/>
    </row>
    <row r="42" spans="1:17" x14ac:dyDescent="0.2">
      <c r="A42" s="164"/>
      <c r="B42" s="117" t="s">
        <v>754</v>
      </c>
      <c r="H42" s="19"/>
      <c r="I42" s="213"/>
      <c r="J42" s="183"/>
      <c r="K42" s="168"/>
      <c r="L42"/>
      <c r="M42"/>
      <c r="N42" s="2"/>
    </row>
    <row r="43" spans="1:17" x14ac:dyDescent="0.2">
      <c r="A43" s="185">
        <v>35772</v>
      </c>
      <c r="B43" s="69" t="s">
        <v>581</v>
      </c>
      <c r="H43" s="15" t="s">
        <v>1332</v>
      </c>
      <c r="I43" s="180">
        <f>+'NAGE &amp; Non-Union Wages'!L5</f>
        <v>22.14</v>
      </c>
      <c r="J43" s="19">
        <f>+(23*35)+18</f>
        <v>823</v>
      </c>
      <c r="K43" s="168">
        <f>+ROUND((+I43*J43),2)</f>
        <v>18221.22</v>
      </c>
      <c r="L43" s="185">
        <v>35772</v>
      </c>
      <c r="M43">
        <v>23</v>
      </c>
      <c r="N43" s="2">
        <v>900</v>
      </c>
    </row>
    <row r="44" spans="1:17" x14ac:dyDescent="0.2">
      <c r="A44" s="185">
        <v>41008</v>
      </c>
      <c r="B44" s="69" t="s">
        <v>1536</v>
      </c>
      <c r="H44" s="15" t="s">
        <v>1067</v>
      </c>
      <c r="I44" s="180">
        <f>+'NAGE &amp; Non-Union Wages'!I5</f>
        <v>20.75</v>
      </c>
      <c r="J44" s="14">
        <f>35*36</f>
        <v>1260</v>
      </c>
      <c r="K44" s="168">
        <f>ROUND((+I44*J44),2)</f>
        <v>26145</v>
      </c>
      <c r="L44" s="185">
        <v>41008</v>
      </c>
      <c r="M44">
        <v>9</v>
      </c>
      <c r="N44" s="2">
        <v>300</v>
      </c>
    </row>
    <row r="45" spans="1:17" x14ac:dyDescent="0.2">
      <c r="A45" s="185">
        <v>38089</v>
      </c>
      <c r="B45" s="69" t="s">
        <v>581</v>
      </c>
      <c r="H45" s="15" t="s">
        <v>1332</v>
      </c>
      <c r="I45" s="180">
        <f>+'NAGE &amp; Non-Union Wages'!L5</f>
        <v>22.14</v>
      </c>
      <c r="J45" s="19">
        <v>1828.5</v>
      </c>
      <c r="K45" s="168">
        <f>ROUND((+I45*J45),2)</f>
        <v>40482.99</v>
      </c>
      <c r="L45" s="185">
        <v>38089</v>
      </c>
      <c r="M45">
        <v>17</v>
      </c>
      <c r="N45" s="2">
        <v>800</v>
      </c>
    </row>
    <row r="46" spans="1:17" x14ac:dyDescent="0.2">
      <c r="A46" s="185"/>
      <c r="B46" s="69" t="s">
        <v>1310</v>
      </c>
      <c r="H46" s="15" t="s">
        <v>762</v>
      </c>
      <c r="I46" s="180">
        <f>+'NAGE &amp; Non-Union Wages'!C5</f>
        <v>17.989999999999998</v>
      </c>
      <c r="J46" s="19">
        <f>25*30</f>
        <v>750</v>
      </c>
      <c r="K46" s="168">
        <f>ROUND((+I46*J46),2)</f>
        <v>13492.5</v>
      </c>
      <c r="L46" s="185"/>
      <c r="M46"/>
      <c r="N46" s="2"/>
    </row>
    <row r="47" spans="1:17" x14ac:dyDescent="0.2">
      <c r="A47" s="185">
        <v>41008</v>
      </c>
      <c r="B47" s="69" t="s">
        <v>1310</v>
      </c>
      <c r="H47" s="15" t="s">
        <v>1067</v>
      </c>
      <c r="I47" s="180">
        <f>+'NAGE &amp; Non-Union Wages'!I5</f>
        <v>20.75</v>
      </c>
      <c r="J47" s="14">
        <f>12.5+(25*16)</f>
        <v>412.5</v>
      </c>
      <c r="K47" s="168">
        <f>ROUND((+I47*J47),2)</f>
        <v>8559.3799999999992</v>
      </c>
      <c r="L47" s="185"/>
      <c r="M47"/>
      <c r="N47" s="2"/>
    </row>
    <row r="48" spans="1:17" x14ac:dyDescent="0.2">
      <c r="A48" s="4"/>
      <c r="B48" s="4" t="s">
        <v>1227</v>
      </c>
      <c r="C48" s="25"/>
      <c r="D48" s="25"/>
      <c r="E48" s="25"/>
      <c r="H48" s="25"/>
      <c r="I48" s="25"/>
      <c r="J48" s="25"/>
      <c r="K48" s="29"/>
      <c r="L48" s="29"/>
      <c r="M48" s="29" t="s">
        <v>431</v>
      </c>
      <c r="N48" s="2">
        <f>SUM(N43:N47)</f>
        <v>2000</v>
      </c>
    </row>
    <row r="49" spans="1:17" x14ac:dyDescent="0.2">
      <c r="A49" s="4"/>
      <c r="B49" s="4"/>
      <c r="C49" s="25"/>
      <c r="D49" s="25"/>
      <c r="E49" s="25"/>
      <c r="H49" s="25"/>
      <c r="I49" s="25"/>
      <c r="J49" s="25"/>
      <c r="K49" s="29"/>
      <c r="L49" s="29"/>
      <c r="M49" s="29"/>
      <c r="N49" s="2"/>
    </row>
    <row r="50" spans="1:17" x14ac:dyDescent="0.2">
      <c r="A50" s="4"/>
      <c r="B50" s="4"/>
      <c r="C50" s="25"/>
      <c r="D50" s="25"/>
      <c r="E50" s="25"/>
      <c r="H50" s="25"/>
      <c r="I50" s="25"/>
      <c r="J50" s="25"/>
      <c r="K50" s="29"/>
      <c r="L50" s="25"/>
      <c r="M50" s="25"/>
      <c r="N50" s="25"/>
      <c r="O50" s="29"/>
      <c r="P50" s="29"/>
      <c r="Q50" s="29"/>
    </row>
    <row r="51" spans="1:17" x14ac:dyDescent="0.2">
      <c r="A51" s="4"/>
      <c r="B51" s="4"/>
      <c r="C51" s="25"/>
      <c r="D51" s="25"/>
      <c r="E51" s="25"/>
      <c r="H51" s="25"/>
      <c r="I51" s="25"/>
      <c r="J51" s="25"/>
      <c r="K51" s="29"/>
      <c r="L51" s="25"/>
      <c r="M51" s="25"/>
      <c r="N51" s="25"/>
      <c r="O51" s="29"/>
      <c r="P51" s="29"/>
      <c r="Q51" s="29"/>
    </row>
    <row r="52" spans="1:17" ht="13.5" thickBot="1" x14ac:dyDescent="0.25">
      <c r="A52" s="4"/>
      <c r="B52" s="4"/>
      <c r="C52" s="25"/>
      <c r="D52" s="25"/>
      <c r="E52" s="25"/>
      <c r="H52" s="25"/>
      <c r="I52" s="25"/>
      <c r="J52" s="25"/>
      <c r="K52" s="29"/>
      <c r="L52" s="26"/>
      <c r="M52" s="25"/>
      <c r="N52" s="25"/>
      <c r="O52" s="29"/>
      <c r="P52" s="29"/>
      <c r="Q52" s="29"/>
    </row>
    <row r="53" spans="1:17" ht="13.5" thickTop="1" x14ac:dyDescent="0.2">
      <c r="A53" s="517"/>
      <c r="B53" s="518"/>
      <c r="C53" s="519" t="s">
        <v>122</v>
      </c>
      <c r="D53" s="520" t="s">
        <v>122</v>
      </c>
      <c r="E53" s="520" t="s">
        <v>122</v>
      </c>
      <c r="H53" s="521" t="s">
        <v>542</v>
      </c>
      <c r="I53" s="522" t="s">
        <v>9</v>
      </c>
      <c r="J53" s="523" t="s">
        <v>1073</v>
      </c>
      <c r="K53" s="522" t="s">
        <v>682</v>
      </c>
      <c r="L53" s="524"/>
      <c r="M53" s="523"/>
      <c r="N53" s="25"/>
      <c r="O53" s="29"/>
      <c r="P53" s="29"/>
      <c r="Q53" s="29"/>
    </row>
    <row r="54" spans="1:17" ht="13.5" thickBot="1" x14ac:dyDescent="0.25">
      <c r="A54" s="525" t="s">
        <v>123</v>
      </c>
      <c r="B54" s="526"/>
      <c r="C54" s="527" t="s">
        <v>334</v>
      </c>
      <c r="D54" s="527" t="s">
        <v>718</v>
      </c>
      <c r="E54" s="528" t="s">
        <v>734</v>
      </c>
      <c r="H54" s="529" t="s">
        <v>899</v>
      </c>
      <c r="I54" s="529" t="s">
        <v>900</v>
      </c>
      <c r="J54" s="528" t="s">
        <v>1075</v>
      </c>
      <c r="K54" s="530" t="s">
        <v>1075</v>
      </c>
      <c r="L54" s="531" t="s">
        <v>1074</v>
      </c>
      <c r="M54" s="529"/>
      <c r="N54" s="25"/>
      <c r="O54" s="29"/>
      <c r="P54" s="29"/>
      <c r="Q54" s="29"/>
    </row>
    <row r="55" spans="1:17" ht="13.5" thickTop="1" x14ac:dyDescent="0.2">
      <c r="A55" s="548"/>
      <c r="B55" s="549"/>
      <c r="C55" s="536"/>
      <c r="D55" s="536"/>
      <c r="E55" s="536"/>
      <c r="H55" s="537"/>
      <c r="I55" s="536"/>
      <c r="J55" s="539"/>
      <c r="K55" s="545"/>
      <c r="L55" s="538"/>
      <c r="M55" s="539"/>
      <c r="N55" s="25"/>
      <c r="O55" s="29"/>
      <c r="P55" s="29"/>
      <c r="Q55" s="29"/>
    </row>
    <row r="56" spans="1:17" x14ac:dyDescent="0.2">
      <c r="A56" s="551">
        <v>5111</v>
      </c>
      <c r="B56" s="540" t="s">
        <v>684</v>
      </c>
      <c r="C56" s="544">
        <v>131608</v>
      </c>
      <c r="D56" s="544">
        <v>136232.44</v>
      </c>
      <c r="E56" s="544">
        <v>139812.09</v>
      </c>
      <c r="H56" s="543">
        <f>+J9</f>
        <v>145116</v>
      </c>
      <c r="I56" s="569">
        <f>+L9</f>
        <v>153813.21</v>
      </c>
      <c r="J56" s="539">
        <f t="shared" ref="J56:J75" si="3">+I56-H56</f>
        <v>8697.2099999999919</v>
      </c>
      <c r="K56" s="545">
        <f t="shared" ref="K56:K75" si="4">IF(H56+I56&lt;&gt;0,IF(H56&lt;&gt;0,IF(J56&lt;&gt;0,ROUND((+J56/H56),4),""),1),"")</f>
        <v>5.9900000000000002E-2</v>
      </c>
      <c r="L56" s="538" t="s">
        <v>1537</v>
      </c>
      <c r="M56" s="539"/>
      <c r="N56" s="25"/>
      <c r="O56" s="29"/>
      <c r="P56" s="29"/>
      <c r="Q56" s="29"/>
    </row>
    <row r="57" spans="1:17" x14ac:dyDescent="0.2">
      <c r="A57" s="551">
        <v>5113</v>
      </c>
      <c r="B57" s="540" t="s">
        <v>685</v>
      </c>
      <c r="C57" s="544">
        <v>15961.4</v>
      </c>
      <c r="D57" s="544">
        <v>17462.41</v>
      </c>
      <c r="E57" s="544">
        <v>18590.79</v>
      </c>
      <c r="H57" s="543">
        <f>+J10</f>
        <v>26328</v>
      </c>
      <c r="I57" s="569">
        <f>+L10</f>
        <v>22052</v>
      </c>
      <c r="J57" s="539">
        <f t="shared" si="3"/>
        <v>-4276</v>
      </c>
      <c r="K57" s="545">
        <f t="shared" si="4"/>
        <v>-0.16239999999999999</v>
      </c>
      <c r="L57" s="538" t="s">
        <v>1538</v>
      </c>
      <c r="M57" s="539"/>
      <c r="N57" s="25"/>
      <c r="O57" s="29"/>
      <c r="P57" s="29"/>
      <c r="Q57" s="29"/>
    </row>
    <row r="58" spans="1:17" x14ac:dyDescent="0.2">
      <c r="A58" s="551">
        <v>5113</v>
      </c>
      <c r="B58" s="540" t="s">
        <v>782</v>
      </c>
      <c r="C58" s="546"/>
      <c r="D58" s="546"/>
      <c r="E58" s="546"/>
      <c r="H58" s="543">
        <f>+J11</f>
        <v>1200</v>
      </c>
      <c r="I58" s="569">
        <f>+L11</f>
        <v>1200</v>
      </c>
      <c r="J58" s="539">
        <f t="shared" si="3"/>
        <v>0</v>
      </c>
      <c r="K58" s="545" t="str">
        <f t="shared" si="4"/>
        <v/>
      </c>
      <c r="L58" s="538"/>
      <c r="M58" s="539"/>
      <c r="N58" s="25"/>
      <c r="O58" s="29"/>
      <c r="P58" s="29"/>
      <c r="Q58" s="29"/>
    </row>
    <row r="59" spans="1:17" ht="13.5" thickBot="1" x14ac:dyDescent="0.25">
      <c r="A59" s="551">
        <v>5144</v>
      </c>
      <c r="B59" s="540" t="s">
        <v>152</v>
      </c>
      <c r="C59" s="542">
        <v>200</v>
      </c>
      <c r="D59" s="542">
        <v>850</v>
      </c>
      <c r="E59" s="542">
        <v>850</v>
      </c>
      <c r="H59" s="543">
        <f>+J12</f>
        <v>2000</v>
      </c>
      <c r="I59" s="569">
        <f>+L12</f>
        <v>2000</v>
      </c>
      <c r="J59" s="539">
        <f t="shared" si="3"/>
        <v>0</v>
      </c>
      <c r="K59" s="545" t="str">
        <f t="shared" si="4"/>
        <v/>
      </c>
      <c r="L59" s="538"/>
      <c r="M59" s="539"/>
      <c r="N59" s="25"/>
      <c r="O59" s="29"/>
      <c r="P59" s="29"/>
      <c r="Q59" s="29"/>
    </row>
    <row r="60" spans="1:17" x14ac:dyDescent="0.2">
      <c r="A60" s="551">
        <v>5145</v>
      </c>
      <c r="B60" s="573" t="s">
        <v>598</v>
      </c>
      <c r="C60" s="546"/>
      <c r="D60" s="546"/>
      <c r="E60" s="546"/>
      <c r="H60" s="543">
        <f t="shared" ref="H60:H62" si="5">+J13</f>
        <v>300</v>
      </c>
      <c r="I60" s="569">
        <f t="shared" ref="I60:I62" si="6">+L13</f>
        <v>300</v>
      </c>
      <c r="J60" s="539">
        <f t="shared" ref="J60:J62" si="7">+I60-H60</f>
        <v>0</v>
      </c>
      <c r="K60" s="545"/>
      <c r="L60" s="538"/>
      <c r="M60" s="539"/>
      <c r="N60" s="25"/>
      <c r="O60" s="29"/>
      <c r="P60" s="29"/>
      <c r="Q60" s="29"/>
    </row>
    <row r="61" spans="1:17" x14ac:dyDescent="0.2">
      <c r="A61" s="548">
        <v>5193</v>
      </c>
      <c r="B61" s="577" t="s">
        <v>695</v>
      </c>
      <c r="C61" s="546"/>
      <c r="D61" s="546"/>
      <c r="E61" s="546"/>
      <c r="H61" s="543">
        <f t="shared" si="5"/>
        <v>0</v>
      </c>
      <c r="I61" s="569">
        <f t="shared" si="6"/>
        <v>3875</v>
      </c>
      <c r="J61" s="539">
        <f t="shared" si="7"/>
        <v>3875</v>
      </c>
      <c r="K61" s="545"/>
      <c r="L61" s="538" t="s">
        <v>1539</v>
      </c>
      <c r="M61" s="539"/>
      <c r="N61" s="25"/>
      <c r="O61" s="29"/>
      <c r="P61" s="29"/>
      <c r="Q61" s="29"/>
    </row>
    <row r="62" spans="1:17" x14ac:dyDescent="0.2">
      <c r="A62" s="551">
        <v>5194</v>
      </c>
      <c r="B62" s="573" t="s">
        <v>221</v>
      </c>
      <c r="C62" s="546"/>
      <c r="D62" s="546"/>
      <c r="E62" s="546"/>
      <c r="H62" s="543">
        <f t="shared" si="5"/>
        <v>0</v>
      </c>
      <c r="I62" s="569">
        <f t="shared" si="6"/>
        <v>3500</v>
      </c>
      <c r="J62" s="539">
        <f t="shared" si="7"/>
        <v>3500</v>
      </c>
      <c r="K62" s="545"/>
      <c r="L62" s="538" t="s">
        <v>1539</v>
      </c>
      <c r="M62" s="539"/>
      <c r="N62" s="25"/>
      <c r="O62" s="29"/>
      <c r="P62" s="29"/>
      <c r="Q62" s="29"/>
    </row>
    <row r="63" spans="1:17" hidden="1" x14ac:dyDescent="0.2">
      <c r="A63" s="551">
        <v>5305</v>
      </c>
      <c r="B63" s="540" t="s">
        <v>143</v>
      </c>
      <c r="C63" s="544"/>
      <c r="D63" s="544">
        <v>0</v>
      </c>
      <c r="E63" s="544"/>
      <c r="H63" s="537">
        <f>+J18</f>
        <v>0</v>
      </c>
      <c r="I63" s="569">
        <f t="shared" ref="I63:I75" si="8">+L18</f>
        <v>0</v>
      </c>
      <c r="J63" s="539">
        <f t="shared" si="3"/>
        <v>0</v>
      </c>
      <c r="K63" s="545" t="str">
        <f t="shared" si="4"/>
        <v/>
      </c>
      <c r="L63" s="538"/>
      <c r="M63" s="539"/>
      <c r="N63" s="25"/>
      <c r="O63" s="29"/>
      <c r="P63" s="29"/>
      <c r="Q63" s="29"/>
    </row>
    <row r="64" spans="1:17" x14ac:dyDescent="0.2">
      <c r="A64" s="551">
        <v>5306</v>
      </c>
      <c r="B64" s="540" t="s">
        <v>722</v>
      </c>
      <c r="C64" s="544">
        <v>4620</v>
      </c>
      <c r="D64" s="544">
        <v>4620</v>
      </c>
      <c r="E64" s="544">
        <v>5451</v>
      </c>
      <c r="H64" s="537">
        <f t="shared" ref="H64:H75" si="9">+J19</f>
        <v>6200</v>
      </c>
      <c r="I64" s="569">
        <f t="shared" si="8"/>
        <v>7200</v>
      </c>
      <c r="J64" s="539">
        <f t="shared" si="3"/>
        <v>1000</v>
      </c>
      <c r="K64" s="545">
        <f t="shared" si="4"/>
        <v>0.1613</v>
      </c>
      <c r="L64" s="538" t="s">
        <v>1407</v>
      </c>
      <c r="M64" s="539"/>
      <c r="N64" s="25"/>
      <c r="O64" s="29"/>
      <c r="P64" s="29"/>
      <c r="Q64" s="29"/>
    </row>
    <row r="65" spans="1:17" x14ac:dyDescent="0.2">
      <c r="A65" s="551">
        <v>5314</v>
      </c>
      <c r="B65" s="540" t="s">
        <v>134</v>
      </c>
      <c r="C65" s="544"/>
      <c r="D65" s="544">
        <v>110</v>
      </c>
      <c r="E65" s="544"/>
      <c r="H65" s="537">
        <f t="shared" si="9"/>
        <v>200</v>
      </c>
      <c r="I65" s="569">
        <f t="shared" si="8"/>
        <v>200</v>
      </c>
      <c r="J65" s="539">
        <f t="shared" si="3"/>
        <v>0</v>
      </c>
      <c r="K65" s="545" t="str">
        <f t="shared" si="4"/>
        <v/>
      </c>
      <c r="L65" s="538"/>
      <c r="M65" s="539"/>
      <c r="N65" s="25"/>
      <c r="O65" s="4"/>
      <c r="P65" s="4"/>
      <c r="Q65" s="4"/>
    </row>
    <row r="66" spans="1:17" x14ac:dyDescent="0.2">
      <c r="A66" s="551">
        <v>5315</v>
      </c>
      <c r="B66" s="540" t="s">
        <v>1046</v>
      </c>
      <c r="C66" s="544"/>
      <c r="D66" s="544"/>
      <c r="E66" s="544"/>
      <c r="H66" s="537">
        <f t="shared" si="9"/>
        <v>2200</v>
      </c>
      <c r="I66" s="569">
        <f t="shared" si="8"/>
        <v>2200</v>
      </c>
      <c r="J66" s="539">
        <f t="shared" si="3"/>
        <v>0</v>
      </c>
      <c r="K66" s="545" t="str">
        <f t="shared" si="4"/>
        <v/>
      </c>
      <c r="L66" s="538"/>
      <c r="M66" s="539"/>
      <c r="N66" s="25"/>
      <c r="O66" s="4"/>
      <c r="P66" s="4"/>
      <c r="Q66" s="4"/>
    </row>
    <row r="67" spans="1:17" hidden="1" x14ac:dyDescent="0.2">
      <c r="A67" s="551">
        <v>5341</v>
      </c>
      <c r="B67" s="540" t="s">
        <v>136</v>
      </c>
      <c r="C67" s="544">
        <v>425.78</v>
      </c>
      <c r="D67" s="544">
        <v>415.92</v>
      </c>
      <c r="E67" s="544">
        <v>414.96</v>
      </c>
      <c r="H67" s="537">
        <f t="shared" si="9"/>
        <v>0</v>
      </c>
      <c r="I67" s="569">
        <f t="shared" si="8"/>
        <v>0</v>
      </c>
      <c r="J67" s="539">
        <f t="shared" si="3"/>
        <v>0</v>
      </c>
      <c r="K67" s="545" t="str">
        <f t="shared" si="4"/>
        <v/>
      </c>
      <c r="L67" s="538"/>
      <c r="M67" s="539"/>
      <c r="N67" s="25"/>
      <c r="O67" s="4"/>
      <c r="P67" s="4"/>
      <c r="Q67" s="4"/>
    </row>
    <row r="68" spans="1:17" x14ac:dyDescent="0.2">
      <c r="A68" s="551">
        <v>5344</v>
      </c>
      <c r="B68" s="540" t="s">
        <v>137</v>
      </c>
      <c r="C68" s="544">
        <v>12123.38</v>
      </c>
      <c r="D68" s="544">
        <v>12087.96</v>
      </c>
      <c r="E68" s="544">
        <v>13215.57</v>
      </c>
      <c r="H68" s="537">
        <f t="shared" si="9"/>
        <v>14000</v>
      </c>
      <c r="I68" s="569">
        <f t="shared" si="8"/>
        <v>14000</v>
      </c>
      <c r="J68" s="539">
        <f t="shared" si="3"/>
        <v>0</v>
      </c>
      <c r="K68" s="545" t="str">
        <f t="shared" si="4"/>
        <v/>
      </c>
      <c r="L68" s="538"/>
      <c r="M68" s="539"/>
      <c r="N68" s="25"/>
      <c r="O68" s="4"/>
      <c r="P68" s="4"/>
      <c r="Q68" s="4"/>
    </row>
    <row r="69" spans="1:17" x14ac:dyDescent="0.2">
      <c r="A69" s="551">
        <v>5345</v>
      </c>
      <c r="B69" s="540" t="s">
        <v>138</v>
      </c>
      <c r="C69" s="536"/>
      <c r="D69" s="536"/>
      <c r="E69" s="536"/>
      <c r="H69" s="537">
        <f t="shared" si="9"/>
        <v>0</v>
      </c>
      <c r="I69" s="569">
        <f t="shared" si="8"/>
        <v>750</v>
      </c>
      <c r="J69" s="539">
        <f t="shared" si="3"/>
        <v>750</v>
      </c>
      <c r="K69" s="545">
        <f t="shared" si="4"/>
        <v>1</v>
      </c>
      <c r="L69" s="538" t="s">
        <v>1540</v>
      </c>
      <c r="M69" s="539"/>
      <c r="N69" s="25"/>
      <c r="O69" s="4"/>
      <c r="P69" s="4"/>
      <c r="Q69" s="4"/>
    </row>
    <row r="70" spans="1:17" x14ac:dyDescent="0.2">
      <c r="A70" s="551">
        <v>5420</v>
      </c>
      <c r="B70" s="540" t="s">
        <v>139</v>
      </c>
      <c r="C70" s="536">
        <v>4414.04</v>
      </c>
      <c r="D70" s="536">
        <v>6221.32</v>
      </c>
      <c r="E70" s="536">
        <v>3872.38</v>
      </c>
      <c r="H70" s="537">
        <f t="shared" si="9"/>
        <v>5500</v>
      </c>
      <c r="I70" s="569">
        <f t="shared" si="8"/>
        <v>6600</v>
      </c>
      <c r="J70" s="539">
        <f t="shared" si="3"/>
        <v>1100</v>
      </c>
      <c r="K70" s="545">
        <f t="shared" si="4"/>
        <v>0.2</v>
      </c>
      <c r="L70" s="538" t="s">
        <v>1408</v>
      </c>
      <c r="M70" s="539"/>
      <c r="N70" s="25"/>
      <c r="O70" s="4"/>
      <c r="P70" s="4"/>
      <c r="Q70" s="4"/>
    </row>
    <row r="71" spans="1:17" x14ac:dyDescent="0.2">
      <c r="A71" s="551">
        <v>5590</v>
      </c>
      <c r="B71" s="540" t="s">
        <v>990</v>
      </c>
      <c r="C71" s="536"/>
      <c r="D71" s="536"/>
      <c r="E71" s="536"/>
      <c r="H71" s="537">
        <f t="shared" si="9"/>
        <v>0</v>
      </c>
      <c r="I71" s="569">
        <f t="shared" si="8"/>
        <v>0</v>
      </c>
      <c r="J71" s="539">
        <f t="shared" si="3"/>
        <v>0</v>
      </c>
      <c r="K71" s="545" t="str">
        <f t="shared" si="4"/>
        <v/>
      </c>
      <c r="L71" s="538"/>
      <c r="M71" s="539"/>
      <c r="N71" s="25"/>
      <c r="O71" s="4"/>
      <c r="P71" s="4"/>
      <c r="Q71" s="4"/>
    </row>
    <row r="72" spans="1:17" x14ac:dyDescent="0.2">
      <c r="A72" s="551">
        <v>5710</v>
      </c>
      <c r="B72" s="540" t="s">
        <v>529</v>
      </c>
      <c r="C72" s="536">
        <v>916.62</v>
      </c>
      <c r="D72" s="536">
        <v>1018.29</v>
      </c>
      <c r="E72" s="536">
        <v>763.19</v>
      </c>
      <c r="H72" s="537">
        <f t="shared" si="9"/>
        <v>750</v>
      </c>
      <c r="I72" s="569">
        <f t="shared" si="8"/>
        <v>750</v>
      </c>
      <c r="J72" s="539">
        <f t="shared" si="3"/>
        <v>0</v>
      </c>
      <c r="K72" s="545" t="str">
        <f t="shared" si="4"/>
        <v/>
      </c>
      <c r="L72" s="538"/>
      <c r="M72" s="539"/>
      <c r="N72" s="25"/>
      <c r="O72" s="4"/>
      <c r="P72" s="4"/>
      <c r="Q72" s="4"/>
    </row>
    <row r="73" spans="1:17" x14ac:dyDescent="0.2">
      <c r="A73" s="551">
        <v>5730</v>
      </c>
      <c r="B73" s="540" t="s">
        <v>142</v>
      </c>
      <c r="C73" s="544">
        <v>100</v>
      </c>
      <c r="D73" s="544">
        <v>100</v>
      </c>
      <c r="E73" s="544">
        <v>60</v>
      </c>
      <c r="H73" s="537">
        <f t="shared" si="9"/>
        <v>120</v>
      </c>
      <c r="I73" s="569">
        <f t="shared" si="8"/>
        <v>120</v>
      </c>
      <c r="J73" s="539">
        <f t="shared" si="3"/>
        <v>0</v>
      </c>
      <c r="K73" s="545" t="str">
        <f t="shared" si="4"/>
        <v/>
      </c>
      <c r="L73" s="538"/>
      <c r="M73" s="539"/>
      <c r="N73" s="25"/>
      <c r="O73" s="4"/>
      <c r="P73" s="4"/>
      <c r="Q73" s="4"/>
    </row>
    <row r="74" spans="1:17" x14ac:dyDescent="0.2">
      <c r="A74" s="551">
        <v>5740</v>
      </c>
      <c r="B74" s="540" t="s">
        <v>149</v>
      </c>
      <c r="C74" s="544">
        <v>2197.5</v>
      </c>
      <c r="D74" s="544">
        <v>2197.5</v>
      </c>
      <c r="E74" s="544">
        <v>2197.5</v>
      </c>
      <c r="H74" s="537">
        <f t="shared" si="9"/>
        <v>3000</v>
      </c>
      <c r="I74" s="569">
        <f t="shared" si="8"/>
        <v>3000</v>
      </c>
      <c r="J74" s="539">
        <f t="shared" si="3"/>
        <v>0</v>
      </c>
      <c r="K74" s="545" t="str">
        <f t="shared" si="4"/>
        <v/>
      </c>
      <c r="L74" s="538"/>
      <c r="M74" s="539"/>
      <c r="N74" s="25"/>
      <c r="O74" s="4"/>
      <c r="P74" s="4"/>
      <c r="Q74" s="4"/>
    </row>
    <row r="75" spans="1:17" ht="13.5" thickBot="1" x14ac:dyDescent="0.25">
      <c r="A75" s="551">
        <v>5781</v>
      </c>
      <c r="B75" s="540" t="s">
        <v>150</v>
      </c>
      <c r="C75" s="542">
        <v>18473.189999999999</v>
      </c>
      <c r="D75" s="542">
        <v>15994.06</v>
      </c>
      <c r="E75" s="542">
        <v>21530.9</v>
      </c>
      <c r="H75" s="537">
        <f t="shared" si="9"/>
        <v>18000</v>
      </c>
      <c r="I75" s="569">
        <f t="shared" si="8"/>
        <v>18000</v>
      </c>
      <c r="J75" s="539">
        <f t="shared" si="3"/>
        <v>0</v>
      </c>
      <c r="K75" s="545" t="str">
        <f t="shared" si="4"/>
        <v/>
      </c>
      <c r="L75" s="538"/>
      <c r="M75" s="539"/>
      <c r="N75" s="25"/>
      <c r="O75" s="4"/>
      <c r="P75" s="4"/>
      <c r="Q75" s="4"/>
    </row>
    <row r="76" spans="1:17" x14ac:dyDescent="0.2">
      <c r="A76" s="4"/>
      <c r="B76" s="4"/>
      <c r="C76" s="25"/>
      <c r="D76" s="25"/>
      <c r="E76" s="25"/>
      <c r="F76" s="25"/>
      <c r="G76" s="25"/>
      <c r="H76" s="25"/>
      <c r="I76" s="25"/>
      <c r="J76" s="25"/>
      <c r="K76" s="4"/>
      <c r="L76" s="25"/>
      <c r="M76" s="25"/>
      <c r="N76" s="25"/>
      <c r="O76" s="4"/>
      <c r="P76" s="4"/>
      <c r="Q76" s="4"/>
    </row>
    <row r="77" spans="1:17" x14ac:dyDescent="0.2">
      <c r="A77" s="4"/>
      <c r="B77" s="4" t="s">
        <v>1600</v>
      </c>
      <c r="C77" s="25"/>
      <c r="D77" s="25"/>
      <c r="E77" s="25"/>
      <c r="F77" s="25"/>
      <c r="G77" s="25"/>
      <c r="H77" s="849">
        <f>SUM(H56:H75)</f>
        <v>224914</v>
      </c>
      <c r="I77" s="849">
        <f>SUM(I56:I75)</f>
        <v>239560.21</v>
      </c>
      <c r="J77" s="208">
        <f t="shared" ref="J77" si="10">+I77-H77</f>
        <v>14646.209999999992</v>
      </c>
      <c r="K77" s="850">
        <f t="shared" ref="K77" si="11">IF(H77+I77&lt;&gt;0,IF(H77&lt;&gt;0,IF(J77&lt;&gt;0,ROUND((+J77/H77),4),""),1),"")</f>
        <v>6.5100000000000005E-2</v>
      </c>
      <c r="L77" s="25"/>
      <c r="M77" s="25"/>
      <c r="N77" s="25"/>
      <c r="O77" s="4"/>
      <c r="P77" s="4"/>
      <c r="Q77" s="4"/>
    </row>
    <row r="78" spans="1:17" ht="15.75" x14ac:dyDescent="0.2">
      <c r="A78" s="875"/>
      <c r="B78" s="4"/>
      <c r="C78" s="25"/>
      <c r="D78" s="25"/>
      <c r="E78" s="25"/>
      <c r="F78" s="25"/>
      <c r="G78" s="25"/>
      <c r="H78" s="25"/>
      <c r="I78" s="25"/>
      <c r="J78" s="25"/>
      <c r="K78" s="4"/>
      <c r="L78" s="25"/>
      <c r="M78" s="25"/>
      <c r="N78" s="25"/>
      <c r="O78" s="4"/>
      <c r="P78" s="4"/>
      <c r="Q78" s="4"/>
    </row>
    <row r="79" spans="1:17" x14ac:dyDescent="0.2">
      <c r="A79" s="4"/>
      <c r="B79" s="4"/>
      <c r="C79" s="25"/>
      <c r="D79" s="25"/>
      <c r="E79" s="25"/>
      <c r="F79" s="25"/>
      <c r="G79" s="25"/>
      <c r="H79" s="25"/>
      <c r="I79" s="25"/>
      <c r="J79" s="25"/>
      <c r="K79" s="4"/>
      <c r="L79" s="25"/>
      <c r="M79" s="25"/>
      <c r="N79" s="25"/>
      <c r="O79" s="4"/>
      <c r="P79" s="4"/>
      <c r="Q79" s="4"/>
    </row>
    <row r="80" spans="1:17" x14ac:dyDescent="0.2">
      <c r="A80" s="4"/>
      <c r="B80" s="4"/>
      <c r="C80" s="25"/>
      <c r="D80" s="25"/>
      <c r="E80" s="25"/>
      <c r="F80" s="25"/>
      <c r="G80" s="25"/>
      <c r="H80" s="25"/>
      <c r="I80" s="25"/>
      <c r="J80" s="25"/>
      <c r="K80" s="4"/>
      <c r="L80" s="25"/>
      <c r="M80" s="25"/>
      <c r="N80" s="25"/>
      <c r="O80" s="4"/>
      <c r="P80" s="4"/>
      <c r="Q80" s="4"/>
    </row>
    <row r="81" spans="1:17" x14ac:dyDescent="0.2">
      <c r="A81" s="4"/>
      <c r="B81" s="4"/>
      <c r="C81" s="25"/>
      <c r="D81" s="25"/>
      <c r="E81" s="25"/>
      <c r="F81" s="25"/>
      <c r="G81" s="25"/>
      <c r="H81" s="25"/>
      <c r="I81" s="25"/>
      <c r="J81" s="25"/>
      <c r="K81" s="4"/>
      <c r="L81" s="25"/>
      <c r="M81" s="25"/>
      <c r="N81" s="25"/>
      <c r="O81" s="4"/>
      <c r="P81" s="4"/>
      <c r="Q81" s="4"/>
    </row>
    <row r="82" spans="1:17" x14ac:dyDescent="0.2">
      <c r="A82" s="4"/>
      <c r="B82" s="4"/>
      <c r="C82" s="25"/>
      <c r="D82" s="25"/>
      <c r="E82" s="25"/>
      <c r="F82" s="25"/>
      <c r="G82" s="25"/>
      <c r="H82" s="25"/>
      <c r="I82" s="25"/>
      <c r="J82" s="25"/>
      <c r="K82" s="4"/>
      <c r="L82" s="25"/>
      <c r="M82" s="25"/>
      <c r="N82" s="25"/>
      <c r="O82" s="4"/>
      <c r="P82" s="4"/>
      <c r="Q82" s="4"/>
    </row>
    <row r="83" spans="1:17" x14ac:dyDescent="0.2">
      <c r="C83" s="121"/>
    </row>
    <row r="84" spans="1:17" x14ac:dyDescent="0.2">
      <c r="C84" s="121"/>
    </row>
    <row r="85" spans="1:17" x14ac:dyDescent="0.2">
      <c r="C85" s="121"/>
    </row>
    <row r="86" spans="1:17" x14ac:dyDescent="0.2">
      <c r="C86" s="121"/>
    </row>
    <row r="87" spans="1:17" x14ac:dyDescent="0.2">
      <c r="C87" s="121"/>
    </row>
    <row r="88" spans="1:17" x14ac:dyDescent="0.2">
      <c r="C88" s="121"/>
    </row>
    <row r="89" spans="1:17" x14ac:dyDescent="0.2">
      <c r="C89" s="121"/>
    </row>
    <row r="90" spans="1:17" x14ac:dyDescent="0.2">
      <c r="C90" s="121"/>
    </row>
    <row r="91" spans="1:17" x14ac:dyDescent="0.2">
      <c r="C91" s="121"/>
    </row>
    <row r="92" spans="1:17" x14ac:dyDescent="0.2">
      <c r="C92" s="121"/>
    </row>
    <row r="93" spans="1:17" x14ac:dyDescent="0.2">
      <c r="C93" s="121"/>
    </row>
    <row r="94" spans="1:17" x14ac:dyDescent="0.2">
      <c r="C94" s="121"/>
    </row>
    <row r="95" spans="1:17" x14ac:dyDescent="0.2">
      <c r="C95" s="121"/>
    </row>
    <row r="96" spans="1:17" x14ac:dyDescent="0.2">
      <c r="C96" s="121"/>
    </row>
    <row r="97" spans="3:3" x14ac:dyDescent="0.2">
      <c r="C97" s="121"/>
    </row>
    <row r="98" spans="3:3" x14ac:dyDescent="0.2">
      <c r="C98" s="121"/>
    </row>
    <row r="99" spans="3:3" x14ac:dyDescent="0.2">
      <c r="C99" s="121"/>
    </row>
    <row r="100" spans="3:3" x14ac:dyDescent="0.2">
      <c r="C100" s="121"/>
    </row>
    <row r="101" spans="3:3" x14ac:dyDescent="0.2">
      <c r="C101" s="121"/>
    </row>
    <row r="102" spans="3:3" x14ac:dyDescent="0.2">
      <c r="C102" s="121"/>
    </row>
    <row r="103" spans="3:3" x14ac:dyDescent="0.2">
      <c r="C103" s="121"/>
    </row>
    <row r="104" spans="3:3" x14ac:dyDescent="0.2">
      <c r="C104" s="121"/>
    </row>
    <row r="105" spans="3:3" x14ac:dyDescent="0.2">
      <c r="C105" s="121"/>
    </row>
    <row r="106" spans="3:3" x14ac:dyDescent="0.2">
      <c r="C106" s="121"/>
    </row>
    <row r="107" spans="3:3" x14ac:dyDescent="0.2">
      <c r="C107" s="121"/>
    </row>
    <row r="108" spans="3:3" x14ac:dyDescent="0.2">
      <c r="C108" s="121"/>
    </row>
    <row r="109" spans="3:3" x14ac:dyDescent="0.2">
      <c r="C109" s="121"/>
    </row>
    <row r="110" spans="3:3" x14ac:dyDescent="0.2">
      <c r="C110" s="121"/>
    </row>
    <row r="111" spans="3:3" x14ac:dyDescent="0.2">
      <c r="C111" s="121"/>
    </row>
    <row r="112" spans="3:3"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row r="128" spans="3:3"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sheetData>
  <phoneticPr fontId="0" type="noConversion"/>
  <hyperlinks>
    <hyperlink ref="A1" location="'Working Budget with funding det'!A1" display="Main "/>
    <hyperlink ref="B1" location="'Table of Contents'!A1" display="TOC"/>
  </hyperlinks>
  <pageMargins left="0.75" right="0.75" top="1" bottom="1" header="0.5" footer="0.5"/>
  <pageSetup scale="99" fitToHeight="2" orientation="landscape" horizontalDpi="300" verticalDpi="300" r:id="rId1"/>
  <headerFooter alignWithMargins="0">
    <oddFooter>&amp;L&amp;D     &amp;T&amp;C&amp;F&amp;R&amp;A   &amp;P</oddFooter>
  </headerFooter>
  <rowBreaks count="1" manualBreakCount="1">
    <brk id="36"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9"/>
  <sheetViews>
    <sheetView zoomScale="85" workbookViewId="0">
      <pane ySplit="7" topLeftCell="A8" activePane="bottomLeft" state="frozen"/>
      <selection activeCell="K15" sqref="K15"/>
      <selection pane="bottomLeft" activeCell="K15" sqref="K15"/>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254</v>
      </c>
      <c r="B2" s="49"/>
      <c r="E2" s="153"/>
      <c r="H2" s="153" t="s">
        <v>252</v>
      </c>
      <c r="I2" s="153"/>
      <c r="J2" s="153"/>
      <c r="K2" s="67" t="s">
        <v>281</v>
      </c>
      <c r="M2" s="50" t="s">
        <v>475</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19"/>
      <c r="J8" s="20"/>
      <c r="K8" s="19"/>
      <c r="L8" s="20"/>
      <c r="M8" s="20"/>
    </row>
    <row r="9" spans="1:16" x14ac:dyDescent="0.2">
      <c r="A9" s="12">
        <v>5301</v>
      </c>
      <c r="B9" s="69" t="s">
        <v>151</v>
      </c>
      <c r="C9" s="140">
        <v>13833</v>
      </c>
      <c r="D9" s="14">
        <v>14157.5</v>
      </c>
      <c r="E9" s="14">
        <v>18901.330000000002</v>
      </c>
      <c r="F9" s="14">
        <v>13281.7</v>
      </c>
      <c r="G9" s="14">
        <v>26679.23</v>
      </c>
      <c r="H9" s="14">
        <v>19011.8</v>
      </c>
      <c r="I9" s="14">
        <v>14065.25</v>
      </c>
      <c r="J9" s="15">
        <v>38000</v>
      </c>
      <c r="K9" s="14">
        <v>7130.93</v>
      </c>
      <c r="L9" s="15">
        <v>30000</v>
      </c>
      <c r="M9" s="15"/>
    </row>
    <row r="10" spans="1:16" x14ac:dyDescent="0.2">
      <c r="A10" s="12">
        <v>5302</v>
      </c>
      <c r="B10" s="69" t="s">
        <v>146</v>
      </c>
      <c r="C10" s="140">
        <v>65458.74</v>
      </c>
      <c r="D10" s="14">
        <v>54064.83</v>
      </c>
      <c r="E10" s="14">
        <v>85357.14</v>
      </c>
      <c r="F10" s="14">
        <v>56286.879999999997</v>
      </c>
      <c r="G10" s="14">
        <v>68311.7</v>
      </c>
      <c r="H10" s="14">
        <v>59740.73</v>
      </c>
      <c r="I10" s="14">
        <v>47985.74</v>
      </c>
      <c r="J10" s="15">
        <v>60000</v>
      </c>
      <c r="K10" s="14">
        <v>5619.05</v>
      </c>
      <c r="L10" s="15">
        <v>60000</v>
      </c>
      <c r="M10" s="40"/>
    </row>
    <row r="11" spans="1:16" ht="13.5" thickBot="1" x14ac:dyDescent="0.25">
      <c r="A11" s="30">
        <v>5303</v>
      </c>
      <c r="B11" s="117" t="s">
        <v>992</v>
      </c>
      <c r="C11" s="820"/>
      <c r="D11" s="41"/>
      <c r="E11" s="41"/>
      <c r="F11" s="41">
        <v>5000</v>
      </c>
      <c r="G11" s="41"/>
      <c r="H11" s="41"/>
      <c r="I11" s="41"/>
      <c r="J11" s="42"/>
      <c r="K11" s="41"/>
      <c r="L11" s="42"/>
      <c r="M11" s="17"/>
    </row>
    <row r="12" spans="1:16" x14ac:dyDescent="0.2">
      <c r="A12" s="12"/>
      <c r="B12" s="70" t="s">
        <v>442</v>
      </c>
      <c r="C12" s="142">
        <f t="shared" ref="C12:L12" si="0">SUM(C9:C11)</f>
        <v>79291.739999999991</v>
      </c>
      <c r="D12" s="19">
        <f t="shared" si="0"/>
        <v>68222.33</v>
      </c>
      <c r="E12" s="19">
        <f t="shared" si="0"/>
        <v>104258.47</v>
      </c>
      <c r="F12" s="19">
        <f>SUM(F9:F11)</f>
        <v>74568.58</v>
      </c>
      <c r="G12" s="19">
        <f>SUM(G9:G11)</f>
        <v>94990.93</v>
      </c>
      <c r="H12" s="19">
        <f>SUM(H9:H11)</f>
        <v>78752.53</v>
      </c>
      <c r="I12" s="19">
        <f t="shared" si="0"/>
        <v>62050.99</v>
      </c>
      <c r="J12" s="20">
        <f t="shared" ref="J12" si="1">SUM(J9:J11)</f>
        <v>98000</v>
      </c>
      <c r="K12" s="19">
        <f t="shared" si="0"/>
        <v>12749.98</v>
      </c>
      <c r="L12" s="20">
        <f t="shared" si="0"/>
        <v>90000</v>
      </c>
      <c r="M12" s="20"/>
    </row>
    <row r="13" spans="1:16" x14ac:dyDescent="0.2">
      <c r="A13" s="12"/>
      <c r="B13" s="69"/>
      <c r="C13" s="140"/>
      <c r="D13" s="14"/>
      <c r="E13" s="14"/>
      <c r="F13" s="14"/>
      <c r="G13" s="14"/>
      <c r="H13" s="14"/>
      <c r="I13" s="14"/>
      <c r="J13" s="15"/>
      <c r="K13" s="14"/>
      <c r="L13" s="15"/>
      <c r="M13" s="15"/>
    </row>
    <row r="14" spans="1:16" x14ac:dyDescent="0.2">
      <c r="A14" s="12"/>
      <c r="B14" s="69"/>
      <c r="C14" s="140"/>
      <c r="D14" s="14"/>
      <c r="E14" s="14"/>
      <c r="F14" s="14"/>
      <c r="G14" s="14"/>
      <c r="H14" s="14"/>
      <c r="I14" s="14"/>
      <c r="J14" s="15"/>
      <c r="K14" s="14"/>
      <c r="L14" s="15"/>
      <c r="M14" s="15"/>
    </row>
    <row r="15" spans="1:16" ht="13.5" thickBot="1" x14ac:dyDescent="0.25">
      <c r="A15" s="21"/>
      <c r="B15" s="825" t="s">
        <v>282</v>
      </c>
      <c r="C15" s="816">
        <f t="shared" ref="C15:L15" si="2">+C12</f>
        <v>79291.739999999991</v>
      </c>
      <c r="D15" s="23">
        <f t="shared" si="2"/>
        <v>68222.33</v>
      </c>
      <c r="E15" s="23">
        <f>+E12</f>
        <v>104258.47</v>
      </c>
      <c r="F15" s="23">
        <f>+F12</f>
        <v>74568.58</v>
      </c>
      <c r="G15" s="23">
        <f>+G12</f>
        <v>94990.93</v>
      </c>
      <c r="H15" s="23">
        <f>+H12</f>
        <v>78752.53</v>
      </c>
      <c r="I15" s="23">
        <f t="shared" si="2"/>
        <v>62050.99</v>
      </c>
      <c r="J15" s="24">
        <f t="shared" ref="J15" si="3">+J12</f>
        <v>98000</v>
      </c>
      <c r="K15" s="23">
        <f t="shared" si="2"/>
        <v>12749.98</v>
      </c>
      <c r="L15" s="24">
        <f t="shared" si="2"/>
        <v>90000</v>
      </c>
      <c r="M15" s="24">
        <f>+L15</f>
        <v>90000</v>
      </c>
    </row>
    <row r="16" spans="1:16" ht="13.5" thickTop="1" x14ac:dyDescent="0.2">
      <c r="A16" s="4"/>
      <c r="B16" s="826"/>
      <c r="C16" s="25"/>
      <c r="D16" s="25"/>
      <c r="E16" s="25"/>
      <c r="F16" s="25"/>
      <c r="G16" s="25"/>
      <c r="H16" s="25"/>
      <c r="I16" s="25"/>
      <c r="J16" s="25"/>
      <c r="K16" s="29"/>
      <c r="L16" s="25"/>
      <c r="M16" s="25"/>
      <c r="N16" s="29"/>
      <c r="O16" s="29"/>
      <c r="P16" s="29"/>
    </row>
    <row r="17" spans="1:16" ht="13.5" thickBot="1" x14ac:dyDescent="0.25">
      <c r="A17" s="4"/>
      <c r="B17" s="826"/>
      <c r="C17" s="25"/>
      <c r="D17" s="25"/>
      <c r="E17" s="25"/>
      <c r="F17" s="25"/>
      <c r="G17" s="25"/>
      <c r="H17" s="25"/>
      <c r="I17" s="25"/>
      <c r="J17" s="25"/>
      <c r="K17" s="29"/>
      <c r="L17" s="25"/>
      <c r="M17" s="25"/>
      <c r="N17" s="29"/>
      <c r="O17" s="29"/>
      <c r="P17" s="29"/>
    </row>
    <row r="18" spans="1:16" ht="13.5" thickTop="1" x14ac:dyDescent="0.2">
      <c r="A18" s="517"/>
      <c r="B18" s="827"/>
      <c r="C18" s="817" t="s">
        <v>122</v>
      </c>
      <c r="D18" s="520" t="s">
        <v>122</v>
      </c>
      <c r="E18" s="520" t="s">
        <v>122</v>
      </c>
      <c r="H18" s="521" t="s">
        <v>542</v>
      </c>
      <c r="I18" s="522" t="s">
        <v>9</v>
      </c>
      <c r="J18" s="523" t="s">
        <v>1073</v>
      </c>
      <c r="K18" s="522" t="s">
        <v>682</v>
      </c>
      <c r="L18" s="524"/>
      <c r="M18" s="523"/>
      <c r="N18" s="29"/>
      <c r="O18" s="29"/>
      <c r="P18" s="29"/>
    </row>
    <row r="19" spans="1:16" ht="13.5" thickBot="1" x14ac:dyDescent="0.25">
      <c r="A19" s="525" t="s">
        <v>123</v>
      </c>
      <c r="B19" s="526"/>
      <c r="C19" s="527" t="s">
        <v>334</v>
      </c>
      <c r="D19" s="527" t="s">
        <v>718</v>
      </c>
      <c r="E19" s="528" t="s">
        <v>734</v>
      </c>
      <c r="H19" s="529" t="s">
        <v>899</v>
      </c>
      <c r="I19" s="529" t="s">
        <v>900</v>
      </c>
      <c r="J19" s="528" t="s">
        <v>1075</v>
      </c>
      <c r="K19" s="530" t="s">
        <v>1075</v>
      </c>
      <c r="L19" s="531" t="s">
        <v>1074</v>
      </c>
      <c r="M19" s="529"/>
      <c r="N19" s="29"/>
      <c r="O19" s="29"/>
      <c r="P19" s="29"/>
    </row>
    <row r="20" spans="1:16" ht="13.5" thickTop="1" x14ac:dyDescent="0.2">
      <c r="A20" s="548"/>
      <c r="B20" s="549"/>
      <c r="C20" s="536"/>
      <c r="D20" s="536"/>
      <c r="E20" s="536"/>
      <c r="H20" s="537"/>
      <c r="I20" s="536"/>
      <c r="J20" s="539"/>
      <c r="K20" s="545"/>
      <c r="L20" s="538"/>
      <c r="M20" s="539"/>
      <c r="N20" s="29"/>
      <c r="O20" s="29"/>
      <c r="P20" s="29"/>
    </row>
    <row r="21" spans="1:16" x14ac:dyDescent="0.2">
      <c r="A21" s="551">
        <v>5301</v>
      </c>
      <c r="B21" s="540" t="s">
        <v>151</v>
      </c>
      <c r="C21" s="544">
        <v>13833</v>
      </c>
      <c r="D21" s="544">
        <v>14157.5</v>
      </c>
      <c r="E21" s="544">
        <v>18901.330000000002</v>
      </c>
      <c r="H21" s="543">
        <f>+J9</f>
        <v>38000</v>
      </c>
      <c r="I21" s="569">
        <f>+L9</f>
        <v>30000</v>
      </c>
      <c r="J21" s="539">
        <f>+I21-H21</f>
        <v>-8000</v>
      </c>
      <c r="K21" s="545">
        <f>IF(H21+I21&lt;&gt;0,IF(H21&lt;&gt;0,IF(J21&lt;&gt;0,ROUND((+J21/H21),4),""),1),"")</f>
        <v>-0.21049999999999999</v>
      </c>
      <c r="L21" s="538" t="s">
        <v>1584</v>
      </c>
      <c r="M21" s="539"/>
      <c r="N21" s="29"/>
      <c r="O21" s="29"/>
      <c r="P21" s="29"/>
    </row>
    <row r="22" spans="1:16" x14ac:dyDescent="0.2">
      <c r="A22" s="551">
        <v>5302</v>
      </c>
      <c r="B22" s="540" t="s">
        <v>146</v>
      </c>
      <c r="C22" s="544">
        <v>65458.74</v>
      </c>
      <c r="D22" s="544">
        <v>54064.83</v>
      </c>
      <c r="E22" s="544">
        <v>85357.14</v>
      </c>
      <c r="H22" s="543">
        <f>+J10</f>
        <v>60000</v>
      </c>
      <c r="I22" s="569">
        <f>+L10</f>
        <v>60000</v>
      </c>
      <c r="J22" s="539">
        <f>+I22-H22</f>
        <v>0</v>
      </c>
      <c r="K22" s="545" t="str">
        <f>IF(H22+I22&lt;&gt;0,IF(H22&lt;&gt;0,IF(J22&lt;&gt;0,ROUND((+J22/H22),4),""),1),"")</f>
        <v/>
      </c>
      <c r="L22" s="538"/>
      <c r="M22" s="539"/>
      <c r="N22" s="29"/>
      <c r="O22" s="29"/>
      <c r="P22" s="29"/>
    </row>
    <row r="23" spans="1:16" x14ac:dyDescent="0.2">
      <c r="A23" s="4"/>
      <c r="B23" s="4"/>
      <c r="C23" s="25"/>
      <c r="D23" s="25"/>
      <c r="E23" s="25"/>
      <c r="F23" s="25"/>
      <c r="G23" s="25"/>
      <c r="H23" s="25"/>
      <c r="I23" s="25"/>
      <c r="J23" s="25"/>
      <c r="K23" s="29"/>
      <c r="L23" s="25"/>
      <c r="M23" s="25"/>
      <c r="N23" s="29"/>
      <c r="O23" s="29"/>
      <c r="P23" s="29"/>
    </row>
    <row r="24" spans="1:16" x14ac:dyDescent="0.2">
      <c r="A24" s="4"/>
      <c r="B24" s="4" t="s">
        <v>1600</v>
      </c>
      <c r="C24" s="25"/>
      <c r="D24" s="25"/>
      <c r="E24" s="25"/>
      <c r="F24" s="25"/>
      <c r="G24" s="25"/>
      <c r="H24" s="849">
        <f>SUM(H21:H23)</f>
        <v>98000</v>
      </c>
      <c r="I24" s="849">
        <f>SUM(I21:I23)</f>
        <v>90000</v>
      </c>
      <c r="J24" s="208">
        <f t="shared" ref="J24" si="4">+I24-H24</f>
        <v>-8000</v>
      </c>
      <c r="K24" s="850">
        <f t="shared" ref="K24" si="5">IF(H24+I24&lt;&gt;0,IF(H24&lt;&gt;0,IF(J24&lt;&gt;0,ROUND((+J24/H24),4),""),1),"")</f>
        <v>-8.1600000000000006E-2</v>
      </c>
      <c r="L24" s="25"/>
      <c r="M24" s="25"/>
      <c r="N24" s="29"/>
      <c r="O24" s="29"/>
      <c r="P24" s="29"/>
    </row>
    <row r="25" spans="1:16" x14ac:dyDescent="0.2">
      <c r="A25" s="4"/>
      <c r="B25" s="4"/>
      <c r="C25" s="25"/>
      <c r="D25" s="25"/>
      <c r="E25" s="25"/>
      <c r="F25" s="25"/>
      <c r="G25" s="25"/>
      <c r="H25" s="25"/>
      <c r="I25" s="25"/>
      <c r="J25" s="25"/>
      <c r="K25" s="29"/>
      <c r="L25" s="25"/>
      <c r="M25" s="25"/>
      <c r="N25" s="29"/>
      <c r="O25" s="29"/>
      <c r="P25" s="29"/>
    </row>
    <row r="26" spans="1:16" x14ac:dyDescent="0.2">
      <c r="A26" s="4"/>
      <c r="B26" s="4"/>
      <c r="C26" s="25"/>
      <c r="D26" s="25"/>
      <c r="E26" s="25"/>
      <c r="F26" s="25"/>
      <c r="G26" s="25"/>
      <c r="H26" s="25"/>
      <c r="I26" s="25"/>
      <c r="J26" s="25"/>
      <c r="K26" s="29"/>
      <c r="L26" s="25"/>
      <c r="M26" s="25"/>
      <c r="N26" s="29"/>
      <c r="O26" s="29"/>
      <c r="P26" s="29"/>
    </row>
    <row r="27" spans="1:16" x14ac:dyDescent="0.2">
      <c r="A27" s="4"/>
      <c r="B27" s="4"/>
      <c r="C27" s="25"/>
      <c r="D27" s="25"/>
      <c r="E27" s="25"/>
      <c r="F27" s="25"/>
      <c r="G27" s="25"/>
      <c r="H27" s="25"/>
      <c r="I27" s="25"/>
      <c r="J27" s="25"/>
      <c r="K27" s="29"/>
      <c r="L27" s="25"/>
      <c r="M27" s="25"/>
      <c r="N27" s="29"/>
      <c r="O27" s="29"/>
      <c r="P27" s="29"/>
    </row>
    <row r="28" spans="1:16" x14ac:dyDescent="0.2">
      <c r="A28" s="4"/>
      <c r="B28" s="4"/>
      <c r="C28" s="25"/>
      <c r="D28" s="25"/>
      <c r="E28" s="25"/>
      <c r="F28" s="25"/>
      <c r="G28" s="25"/>
      <c r="H28" s="25"/>
      <c r="I28" s="25"/>
      <c r="J28" s="25"/>
      <c r="K28" s="29"/>
      <c r="L28" s="25"/>
      <c r="M28" s="25"/>
      <c r="N28" s="29"/>
      <c r="O28" s="29"/>
      <c r="P28" s="29"/>
    </row>
    <row r="29" spans="1:16" x14ac:dyDescent="0.2">
      <c r="A29" s="4"/>
      <c r="B29" s="4"/>
      <c r="C29" s="25"/>
      <c r="D29" s="25"/>
      <c r="E29" s="25"/>
      <c r="F29" s="25"/>
      <c r="G29" s="25"/>
      <c r="H29" s="25"/>
      <c r="I29" s="25"/>
      <c r="J29" s="25"/>
      <c r="K29" s="29"/>
      <c r="L29" s="25"/>
      <c r="M29" s="25"/>
      <c r="N29" s="29"/>
      <c r="O29" s="29"/>
      <c r="P29" s="29"/>
    </row>
    <row r="30" spans="1:16" x14ac:dyDescent="0.2">
      <c r="A30" s="4"/>
      <c r="B30" s="4"/>
      <c r="C30" s="25"/>
      <c r="D30" s="25"/>
      <c r="E30" s="25"/>
      <c r="F30" s="25"/>
      <c r="G30" s="25"/>
      <c r="H30" s="25"/>
      <c r="I30" s="25"/>
      <c r="J30" s="25"/>
      <c r="K30" s="29"/>
      <c r="L30" s="25"/>
      <c r="M30" s="25"/>
      <c r="N30" s="29"/>
      <c r="O30" s="29"/>
      <c r="P30" s="29"/>
    </row>
    <row r="31" spans="1:16" x14ac:dyDescent="0.2">
      <c r="A31" s="4"/>
      <c r="B31" s="4"/>
      <c r="C31" s="25"/>
      <c r="D31" s="25"/>
      <c r="E31" s="25"/>
      <c r="F31" s="25"/>
      <c r="G31" s="25"/>
      <c r="H31" s="25"/>
      <c r="I31" s="25"/>
      <c r="J31" s="25"/>
      <c r="K31" s="29"/>
      <c r="L31" s="25"/>
      <c r="M31" s="25"/>
      <c r="N31" s="29"/>
      <c r="O31" s="29"/>
      <c r="P31" s="29"/>
    </row>
    <row r="32" spans="1:16" x14ac:dyDescent="0.2">
      <c r="A32" s="4"/>
      <c r="B32" s="4"/>
      <c r="C32" s="25"/>
      <c r="D32" s="25"/>
      <c r="E32" s="25"/>
      <c r="F32" s="25"/>
      <c r="G32" s="25"/>
      <c r="H32" s="25"/>
      <c r="I32" s="25"/>
      <c r="J32" s="25"/>
      <c r="K32" s="29"/>
      <c r="L32" s="25"/>
      <c r="M32" s="25"/>
      <c r="N32" s="29"/>
      <c r="O32" s="29"/>
      <c r="P32" s="29"/>
    </row>
    <row r="33" spans="1:16" x14ac:dyDescent="0.2">
      <c r="A33" s="4"/>
      <c r="B33" s="4"/>
      <c r="C33" s="25"/>
      <c r="D33" s="25"/>
      <c r="E33" s="25"/>
      <c r="F33" s="25"/>
      <c r="G33" s="25"/>
      <c r="H33" s="25"/>
      <c r="I33" s="25"/>
      <c r="J33" s="25"/>
      <c r="K33" s="29"/>
      <c r="L33" s="25"/>
      <c r="M33" s="25"/>
      <c r="N33" s="29"/>
      <c r="O33" s="29"/>
      <c r="P33" s="29"/>
    </row>
    <row r="34" spans="1:16" x14ac:dyDescent="0.2">
      <c r="A34" s="4"/>
      <c r="B34" s="4"/>
      <c r="C34" s="25"/>
      <c r="D34" s="25"/>
      <c r="E34" s="25"/>
      <c r="F34" s="25"/>
      <c r="G34" s="25"/>
      <c r="H34" s="25"/>
      <c r="I34" s="25"/>
      <c r="J34" s="25"/>
      <c r="K34" s="29"/>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9"/>
      <c r="L42" s="25"/>
      <c r="M42" s="25"/>
      <c r="N42" s="29"/>
      <c r="O42" s="29"/>
      <c r="P42" s="29"/>
    </row>
    <row r="43" spans="1:16" x14ac:dyDescent="0.2">
      <c r="A43" s="4"/>
      <c r="B43" s="4"/>
      <c r="C43" s="25"/>
      <c r="D43" s="25"/>
      <c r="E43" s="25"/>
      <c r="F43" s="25"/>
      <c r="G43" s="25"/>
      <c r="H43" s="25"/>
      <c r="I43" s="25"/>
      <c r="J43" s="25"/>
      <c r="K43" s="29"/>
      <c r="L43" s="25"/>
      <c r="M43" s="25"/>
      <c r="N43" s="29"/>
      <c r="O43" s="29"/>
      <c r="P43" s="29"/>
    </row>
    <row r="44" spans="1:16" x14ac:dyDescent="0.2">
      <c r="A44" s="4"/>
      <c r="B44" s="4"/>
      <c r="C44" s="25"/>
      <c r="D44" s="25"/>
      <c r="E44" s="25"/>
      <c r="F44" s="25"/>
      <c r="G44" s="25"/>
      <c r="H44" s="25"/>
      <c r="I44" s="25"/>
      <c r="J44" s="25"/>
      <c r="K44" s="29"/>
      <c r="L44" s="25"/>
      <c r="M44" s="25"/>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c r="C46" s="25"/>
      <c r="D46" s="25"/>
      <c r="E46" s="25"/>
      <c r="F46" s="25"/>
      <c r="G46" s="25"/>
      <c r="H46" s="25"/>
      <c r="I46" s="25"/>
      <c r="J46" s="25"/>
      <c r="K46" s="29"/>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4"/>
      <c r="L50" s="25"/>
      <c r="M50" s="25"/>
      <c r="N50" s="4"/>
      <c r="O50" s="4"/>
      <c r="P50" s="4"/>
    </row>
    <row r="51" spans="1:16" x14ac:dyDescent="0.2">
      <c r="A51" s="4"/>
      <c r="B51" s="4"/>
      <c r="C51" s="25"/>
      <c r="D51" s="25"/>
      <c r="E51" s="25"/>
      <c r="F51" s="25"/>
      <c r="G51" s="25"/>
      <c r="H51" s="25"/>
      <c r="I51" s="25"/>
      <c r="J51" s="25"/>
      <c r="K51" s="4"/>
      <c r="L51" s="25"/>
      <c r="M51" s="25"/>
      <c r="N51" s="4"/>
      <c r="O51" s="4"/>
      <c r="P51" s="4"/>
    </row>
    <row r="52" spans="1:16" x14ac:dyDescent="0.2">
      <c r="A52" s="4"/>
      <c r="B52" s="4"/>
      <c r="C52" s="25"/>
      <c r="D52" s="25"/>
      <c r="E52" s="25"/>
      <c r="F52" s="25"/>
      <c r="G52" s="25"/>
      <c r="H52" s="25"/>
      <c r="I52" s="25"/>
      <c r="J52" s="25"/>
      <c r="K52" s="4"/>
      <c r="L52" s="25"/>
      <c r="M52" s="25"/>
      <c r="N52" s="4"/>
      <c r="O52" s="4"/>
      <c r="P52" s="4"/>
    </row>
    <row r="53" spans="1:16" x14ac:dyDescent="0.2">
      <c r="A53" s="4"/>
      <c r="B53" s="4"/>
      <c r="C53" s="25"/>
      <c r="D53" s="25"/>
      <c r="E53" s="25"/>
      <c r="F53" s="25"/>
      <c r="G53" s="25"/>
      <c r="H53" s="25"/>
      <c r="I53" s="25"/>
      <c r="J53" s="25"/>
      <c r="K53" s="4"/>
      <c r="L53" s="25"/>
      <c r="M53" s="25"/>
      <c r="N53" s="4"/>
      <c r="O53" s="4"/>
      <c r="P53" s="4"/>
    </row>
    <row r="54" spans="1:16" x14ac:dyDescent="0.2">
      <c r="A54" s="4"/>
      <c r="B54" s="4"/>
      <c r="C54" s="25"/>
      <c r="D54" s="25"/>
      <c r="E54" s="25"/>
      <c r="F54" s="25"/>
      <c r="G54" s="25"/>
      <c r="H54" s="25"/>
      <c r="I54" s="25"/>
      <c r="J54" s="25"/>
      <c r="K54" s="4"/>
      <c r="L54" s="25"/>
      <c r="M54" s="25"/>
      <c r="N54" s="4"/>
      <c r="O54" s="4"/>
      <c r="P54" s="4"/>
    </row>
    <row r="55" spans="1:16" x14ac:dyDescent="0.2">
      <c r="A55" s="4"/>
      <c r="B55" s="4"/>
      <c r="C55" s="25"/>
      <c r="D55" s="25"/>
      <c r="E55" s="25"/>
      <c r="F55" s="25"/>
      <c r="G55" s="25"/>
      <c r="H55" s="25"/>
      <c r="I55" s="25"/>
      <c r="J55" s="25"/>
      <c r="K55" s="4"/>
      <c r="L55" s="25"/>
      <c r="M55" s="25"/>
      <c r="N55" s="4"/>
      <c r="O55" s="4"/>
      <c r="P55" s="4"/>
    </row>
    <row r="56" spans="1:16" x14ac:dyDescent="0.2">
      <c r="A56" s="4"/>
      <c r="B56" s="4"/>
      <c r="C56" s="25"/>
      <c r="D56" s="25"/>
      <c r="E56" s="25"/>
      <c r="F56" s="25"/>
      <c r="G56" s="25"/>
      <c r="H56" s="25"/>
      <c r="I56" s="25"/>
      <c r="J56" s="25"/>
      <c r="K56" s="4"/>
      <c r="L56" s="25"/>
      <c r="M56" s="25"/>
      <c r="N56" s="4"/>
      <c r="O56" s="4"/>
      <c r="P56" s="4"/>
    </row>
    <row r="57" spans="1:16" x14ac:dyDescent="0.2">
      <c r="A57" s="4"/>
      <c r="B57" s="4"/>
      <c r="C57" s="25"/>
      <c r="D57" s="25"/>
      <c r="E57" s="25"/>
      <c r="F57" s="25"/>
      <c r="G57" s="25"/>
      <c r="H57" s="25"/>
      <c r="I57" s="25"/>
      <c r="J57" s="25"/>
      <c r="K57" s="4"/>
      <c r="L57" s="25"/>
      <c r="M57" s="25"/>
      <c r="N57" s="4"/>
      <c r="O57" s="4"/>
      <c r="P57" s="4"/>
    </row>
    <row r="58" spans="1:16" x14ac:dyDescent="0.2">
      <c r="A58" s="4"/>
      <c r="B58" s="4"/>
      <c r="C58" s="25"/>
      <c r="D58" s="25"/>
      <c r="E58" s="25"/>
      <c r="F58" s="25"/>
      <c r="G58" s="25"/>
      <c r="H58" s="25"/>
      <c r="I58" s="25"/>
      <c r="J58" s="25"/>
      <c r="K58" s="4"/>
      <c r="L58" s="25"/>
      <c r="M58" s="25"/>
      <c r="N58" s="4"/>
      <c r="O58" s="4"/>
      <c r="P58" s="4"/>
    </row>
    <row r="59" spans="1:16" x14ac:dyDescent="0.2">
      <c r="A59" s="4"/>
      <c r="B59" s="4"/>
      <c r="C59" s="25"/>
      <c r="D59" s="25"/>
      <c r="E59" s="25"/>
      <c r="F59" s="25"/>
      <c r="G59" s="25"/>
      <c r="H59" s="25"/>
      <c r="I59" s="25"/>
      <c r="J59" s="25"/>
      <c r="K59" s="4"/>
      <c r="L59" s="25"/>
      <c r="M59" s="25"/>
      <c r="N59" s="4"/>
      <c r="O59" s="4"/>
      <c r="P59" s="4"/>
    </row>
    <row r="60" spans="1:16" x14ac:dyDescent="0.2">
      <c r="A60" s="4"/>
      <c r="B60" s="4"/>
      <c r="C60" s="25"/>
      <c r="D60" s="25"/>
      <c r="E60" s="25"/>
      <c r="F60" s="25"/>
      <c r="G60" s="25"/>
      <c r="H60" s="25"/>
      <c r="I60" s="25"/>
      <c r="J60" s="25"/>
      <c r="K60" s="4"/>
      <c r="L60" s="25"/>
      <c r="M60" s="25"/>
      <c r="N60" s="4"/>
      <c r="O60" s="4"/>
      <c r="P60" s="4"/>
    </row>
    <row r="61" spans="1:16" x14ac:dyDescent="0.2">
      <c r="A61" s="4"/>
      <c r="B61" s="4"/>
      <c r="C61" s="25"/>
      <c r="D61" s="25"/>
      <c r="E61" s="25"/>
      <c r="F61" s="25"/>
      <c r="G61" s="25"/>
      <c r="H61" s="25"/>
      <c r="I61" s="25"/>
      <c r="J61" s="25"/>
      <c r="K61" s="4"/>
      <c r="L61" s="25"/>
      <c r="M61" s="25"/>
      <c r="N61" s="4"/>
      <c r="O61" s="4"/>
      <c r="P61" s="4"/>
    </row>
    <row r="62" spans="1:16" x14ac:dyDescent="0.2">
      <c r="A62" s="4"/>
      <c r="B62" s="4"/>
      <c r="C62" s="25"/>
      <c r="D62" s="25"/>
      <c r="E62" s="25"/>
      <c r="F62" s="25"/>
      <c r="G62" s="25"/>
      <c r="H62" s="25"/>
      <c r="I62" s="25"/>
      <c r="J62" s="25"/>
      <c r="K62" s="4"/>
      <c r="L62" s="25"/>
      <c r="M62" s="25"/>
      <c r="N62" s="4"/>
      <c r="O62" s="4"/>
      <c r="P62" s="4"/>
    </row>
    <row r="63" spans="1:16" x14ac:dyDescent="0.2">
      <c r="A63" s="4"/>
      <c r="B63" s="4"/>
      <c r="C63" s="25"/>
      <c r="D63" s="25"/>
      <c r="E63" s="25"/>
      <c r="F63" s="25"/>
      <c r="G63" s="25"/>
      <c r="H63" s="25"/>
      <c r="I63" s="25"/>
      <c r="J63" s="25"/>
      <c r="K63" s="4"/>
      <c r="L63" s="25"/>
      <c r="M63" s="25"/>
      <c r="N63" s="4"/>
      <c r="O63" s="4"/>
      <c r="P63" s="4"/>
    </row>
    <row r="64" spans="1:16" x14ac:dyDescent="0.2">
      <c r="A64" s="4"/>
      <c r="B64" s="4"/>
      <c r="C64" s="25"/>
      <c r="D64" s="25"/>
      <c r="E64" s="25"/>
      <c r="F64" s="25"/>
      <c r="G64" s="25"/>
      <c r="H64" s="25"/>
      <c r="I64" s="25"/>
      <c r="J64" s="25"/>
      <c r="K64" s="4"/>
      <c r="L64" s="25"/>
      <c r="M64" s="25"/>
      <c r="N64" s="4"/>
      <c r="O64" s="4"/>
      <c r="P64" s="4"/>
    </row>
    <row r="65" spans="1:16" x14ac:dyDescent="0.2">
      <c r="A65" s="4"/>
      <c r="B65" s="4"/>
      <c r="C65" s="25"/>
      <c r="D65" s="25"/>
      <c r="E65" s="25"/>
      <c r="F65" s="25"/>
      <c r="G65" s="25"/>
      <c r="H65" s="25"/>
      <c r="I65" s="25"/>
      <c r="J65" s="25"/>
      <c r="K65" s="4"/>
      <c r="L65" s="25"/>
      <c r="M65" s="25"/>
      <c r="N65" s="4"/>
      <c r="O65" s="4"/>
      <c r="P65" s="4"/>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C123" s="121"/>
    </row>
    <row r="124" spans="1:16" x14ac:dyDescent="0.2">
      <c r="C124" s="121"/>
    </row>
    <row r="125" spans="1:16" x14ac:dyDescent="0.2">
      <c r="C125" s="121"/>
    </row>
    <row r="126" spans="1:16" x14ac:dyDescent="0.2">
      <c r="C126" s="121"/>
    </row>
    <row r="127" spans="1:16" x14ac:dyDescent="0.2">
      <c r="C127" s="121"/>
    </row>
    <row r="128" spans="1:16"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horizontalDpi="300" verticalDpi="300" r:id="rId1"/>
  <headerFooter alignWithMargins="0">
    <oddFooter xml:space="preserve">&amp;L&amp;D     &amp;T&amp;C&amp;F&amp;R&amp;A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85" zoomScaleNormal="85" workbookViewId="0">
      <pane ySplit="7" topLeftCell="A23" activePane="bottomLeft" state="frozen"/>
      <selection activeCell="K15" sqref="K15"/>
      <selection pane="bottomLeft" activeCell="A43" sqref="A43:J45"/>
    </sheetView>
  </sheetViews>
  <sheetFormatPr defaultRowHeight="12.75" x14ac:dyDescent="0.2"/>
  <cols>
    <col min="1" max="1" width="11.33203125" customWidth="1"/>
    <col min="2" max="2" width="39.6640625" customWidth="1"/>
    <col min="3" max="7" width="13" hidden="1" customWidth="1"/>
    <col min="8" max="13" width="13" customWidth="1"/>
  </cols>
  <sheetData>
    <row r="1" spans="1:13" x14ac:dyDescent="0.2">
      <c r="A1" s="410" t="s">
        <v>1013</v>
      </c>
      <c r="B1" s="410" t="s">
        <v>1418</v>
      </c>
      <c r="C1" s="25"/>
      <c r="D1" s="25"/>
      <c r="E1" s="25"/>
      <c r="F1" s="25"/>
      <c r="G1" s="25"/>
      <c r="H1" s="25"/>
      <c r="I1" s="25"/>
      <c r="J1" s="25"/>
      <c r="K1" s="4"/>
      <c r="L1" s="25"/>
      <c r="M1" s="25"/>
    </row>
    <row r="2" spans="1:13" x14ac:dyDescent="0.2">
      <c r="A2" s="4" t="s">
        <v>254</v>
      </c>
      <c r="B2" s="4"/>
      <c r="C2" s="25"/>
      <c r="F2" s="86" t="s">
        <v>937</v>
      </c>
      <c r="I2" s="25" t="s">
        <v>252</v>
      </c>
      <c r="J2" s="25"/>
      <c r="L2" s="25"/>
      <c r="M2" s="85" t="s">
        <v>938</v>
      </c>
    </row>
    <row r="3" spans="1:13" ht="13.5" thickBot="1" x14ac:dyDescent="0.25">
      <c r="A3" s="4"/>
      <c r="B3" s="4"/>
      <c r="C3" s="25"/>
      <c r="D3" s="25"/>
      <c r="E3" s="25"/>
      <c r="F3" s="25"/>
      <c r="G3" s="25"/>
      <c r="H3" s="25"/>
      <c r="I3" s="25"/>
      <c r="J3" s="25"/>
      <c r="K3" s="4"/>
      <c r="L3" s="25"/>
      <c r="M3" s="4"/>
    </row>
    <row r="4" spans="1:13"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3" x14ac:dyDescent="0.2">
      <c r="A5" s="93"/>
      <c r="B5" s="216"/>
      <c r="C5" s="137"/>
      <c r="D5" s="94"/>
      <c r="E5" s="120"/>
      <c r="F5" s="94"/>
      <c r="G5" s="94"/>
      <c r="H5" s="120"/>
      <c r="I5" s="318"/>
      <c r="J5" s="318"/>
      <c r="K5" s="120" t="s">
        <v>509</v>
      </c>
      <c r="L5" s="95" t="s">
        <v>7</v>
      </c>
      <c r="M5" s="209" t="s">
        <v>783</v>
      </c>
    </row>
    <row r="6" spans="1:13" x14ac:dyDescent="0.2">
      <c r="A6" s="93"/>
      <c r="B6" s="216"/>
      <c r="C6" s="137"/>
      <c r="D6" s="137"/>
      <c r="E6" s="137"/>
      <c r="F6" s="137"/>
      <c r="G6" s="137"/>
      <c r="H6" s="137"/>
      <c r="I6" s="95"/>
      <c r="J6" s="95"/>
      <c r="K6" s="137"/>
      <c r="L6" s="95" t="s">
        <v>8</v>
      </c>
      <c r="M6" s="51" t="s">
        <v>537</v>
      </c>
    </row>
    <row r="7" spans="1:13"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3" ht="13.5" thickTop="1" x14ac:dyDescent="0.2">
      <c r="A8" s="30"/>
      <c r="B8" s="218"/>
      <c r="C8" s="142"/>
      <c r="D8" s="19"/>
      <c r="E8" s="19"/>
      <c r="F8" s="19"/>
      <c r="G8" s="19"/>
      <c r="H8" s="19"/>
      <c r="I8" s="19"/>
      <c r="J8" s="20"/>
      <c r="K8" s="19"/>
      <c r="L8" s="20"/>
      <c r="M8" s="20"/>
    </row>
    <row r="9" spans="1:13" x14ac:dyDescent="0.2">
      <c r="A9" s="273">
        <v>5100</v>
      </c>
      <c r="B9" s="325" t="s">
        <v>670</v>
      </c>
      <c r="C9" s="461">
        <v>2000</v>
      </c>
      <c r="D9" s="136">
        <v>2000</v>
      </c>
      <c r="E9" s="136">
        <v>1885.16</v>
      </c>
      <c r="F9" s="136">
        <v>2000</v>
      </c>
      <c r="G9" s="136">
        <v>663.52</v>
      </c>
      <c r="H9" s="136">
        <v>1807.62</v>
      </c>
      <c r="I9" s="136">
        <v>2000</v>
      </c>
      <c r="J9" s="134">
        <v>2100</v>
      </c>
      <c r="K9" s="136"/>
      <c r="L9" s="134">
        <v>2100</v>
      </c>
      <c r="M9" s="134"/>
    </row>
    <row r="10" spans="1:13" ht="13.5" thickBot="1" x14ac:dyDescent="0.25">
      <c r="A10" s="30"/>
      <c r="B10" s="117"/>
      <c r="C10" s="141"/>
      <c r="D10" s="16"/>
      <c r="E10" s="16"/>
      <c r="F10" s="16"/>
      <c r="G10" s="16"/>
      <c r="H10" s="16"/>
      <c r="I10" s="349"/>
      <c r="J10" s="133"/>
      <c r="K10" s="16"/>
      <c r="L10" s="133"/>
      <c r="M10" s="133"/>
    </row>
    <row r="11" spans="1:13" x14ac:dyDescent="0.2">
      <c r="A11" s="30"/>
      <c r="B11" s="213" t="s">
        <v>671</v>
      </c>
      <c r="C11" s="142">
        <f>SUM(C9:C10)</f>
        <v>2000</v>
      </c>
      <c r="D11" s="19">
        <f>SUM(D9)</f>
        <v>2000</v>
      </c>
      <c r="E11" s="19">
        <f>SUM(E9)</f>
        <v>1885.16</v>
      </c>
      <c r="F11" s="19">
        <f>SUM(F9:F10)</f>
        <v>2000</v>
      </c>
      <c r="G11" s="19">
        <f>SUM(G9:G10)</f>
        <v>663.52</v>
      </c>
      <c r="H11" s="19">
        <f>SUM(H9:H10)</f>
        <v>1807.62</v>
      </c>
      <c r="I11" s="136">
        <f>SUM(I9)</f>
        <v>2000</v>
      </c>
      <c r="J11" s="134">
        <f>SUM(J9)</f>
        <v>2100</v>
      </c>
      <c r="K11" s="19">
        <f>SUM(K9:K10)</f>
        <v>0</v>
      </c>
      <c r="L11" s="134">
        <f>SUM(L9)</f>
        <v>2100</v>
      </c>
      <c r="M11" s="134"/>
    </row>
    <row r="12" spans="1:13" x14ac:dyDescent="0.2">
      <c r="A12" s="30"/>
      <c r="B12" s="117"/>
      <c r="C12" s="142"/>
      <c r="D12" s="19"/>
      <c r="E12" s="19"/>
      <c r="F12" s="19"/>
      <c r="G12" s="19"/>
      <c r="H12" s="19"/>
      <c r="I12" s="136"/>
      <c r="J12" s="134"/>
      <c r="K12" s="19"/>
      <c r="L12" s="134"/>
      <c r="M12" s="134"/>
    </row>
    <row r="13" spans="1:13" x14ac:dyDescent="0.2">
      <c r="A13" s="275">
        <v>5247</v>
      </c>
      <c r="B13" s="250" t="s">
        <v>939</v>
      </c>
      <c r="C13" s="460">
        <v>14500</v>
      </c>
      <c r="D13" s="156">
        <v>15250</v>
      </c>
      <c r="E13" s="156">
        <v>16000</v>
      </c>
      <c r="F13" s="156">
        <v>25000</v>
      </c>
      <c r="G13" s="156">
        <v>28000</v>
      </c>
      <c r="H13" s="156">
        <v>34000</v>
      </c>
      <c r="I13" s="156">
        <v>36000</v>
      </c>
      <c r="J13" s="132">
        <v>36000</v>
      </c>
      <c r="K13" s="156">
        <v>9000</v>
      </c>
      <c r="L13" s="132">
        <v>40000</v>
      </c>
      <c r="M13" s="132"/>
    </row>
    <row r="14" spans="1:13" x14ac:dyDescent="0.2">
      <c r="A14" s="275">
        <v>5341</v>
      </c>
      <c r="B14" s="250" t="s">
        <v>666</v>
      </c>
      <c r="C14" s="804">
        <v>1333.75</v>
      </c>
      <c r="D14" s="244">
        <v>1245.3900000000001</v>
      </c>
      <c r="E14" s="244">
        <v>1072.8</v>
      </c>
      <c r="F14" s="244">
        <v>1136.7</v>
      </c>
      <c r="G14" s="244">
        <v>1481.98</v>
      </c>
      <c r="H14" s="244">
        <v>1651.23</v>
      </c>
      <c r="I14" s="244">
        <v>1882.24</v>
      </c>
      <c r="J14" s="135">
        <v>1900</v>
      </c>
      <c r="K14" s="156">
        <v>951.12</v>
      </c>
      <c r="L14" s="135">
        <v>2000</v>
      </c>
      <c r="M14" s="135"/>
    </row>
    <row r="15" spans="1:13" x14ac:dyDescent="0.2">
      <c r="A15" s="275">
        <v>5346</v>
      </c>
      <c r="B15" s="250" t="s">
        <v>1123</v>
      </c>
      <c r="C15" s="460"/>
      <c r="D15" s="156"/>
      <c r="E15" s="156"/>
      <c r="F15" s="156"/>
      <c r="G15" s="156"/>
      <c r="H15" s="156">
        <v>1082.3800000000001</v>
      </c>
      <c r="I15" s="156"/>
      <c r="J15" s="132">
        <v>700</v>
      </c>
      <c r="K15" s="156"/>
      <c r="L15" s="132">
        <v>1100</v>
      </c>
      <c r="M15" s="132"/>
    </row>
    <row r="16" spans="1:13" x14ac:dyDescent="0.2">
      <c r="A16" s="275">
        <v>5347</v>
      </c>
      <c r="B16" s="250" t="s">
        <v>613</v>
      </c>
      <c r="C16" s="460">
        <v>125</v>
      </c>
      <c r="D16" s="156">
        <v>275</v>
      </c>
      <c r="E16" s="156">
        <v>125</v>
      </c>
      <c r="F16" s="156">
        <v>304.99</v>
      </c>
      <c r="G16" s="156">
        <v>125</v>
      </c>
      <c r="H16" s="156">
        <v>400</v>
      </c>
      <c r="I16" s="156">
        <v>400</v>
      </c>
      <c r="J16" s="132">
        <v>400</v>
      </c>
      <c r="K16" s="156">
        <v>400</v>
      </c>
      <c r="L16" s="132">
        <v>400</v>
      </c>
      <c r="M16" s="132"/>
    </row>
    <row r="17" spans="1:15" x14ac:dyDescent="0.2">
      <c r="A17" s="275">
        <v>5348</v>
      </c>
      <c r="B17" s="250" t="s">
        <v>1091</v>
      </c>
      <c r="C17" s="460">
        <v>2950</v>
      </c>
      <c r="D17" s="156">
        <v>2950</v>
      </c>
      <c r="E17" s="156">
        <v>3050</v>
      </c>
      <c r="F17" s="156">
        <v>3050</v>
      </c>
      <c r="G17" s="156">
        <v>3050</v>
      </c>
      <c r="H17" s="156">
        <v>1870.84</v>
      </c>
      <c r="I17" s="156">
        <v>600</v>
      </c>
      <c r="J17" s="132">
        <v>600</v>
      </c>
      <c r="K17" s="156">
        <v>600</v>
      </c>
      <c r="L17" s="132">
        <v>600</v>
      </c>
      <c r="M17" s="132"/>
    </row>
    <row r="18" spans="1:15" x14ac:dyDescent="0.2">
      <c r="A18" s="275">
        <v>5349</v>
      </c>
      <c r="B18" s="250" t="s">
        <v>22</v>
      </c>
      <c r="C18" s="460">
        <v>161.97999999999999</v>
      </c>
      <c r="D18" s="156">
        <v>0</v>
      </c>
      <c r="E18" s="156">
        <v>179.98</v>
      </c>
      <c r="F18" s="156"/>
      <c r="G18" s="156"/>
      <c r="H18" s="156">
        <v>299.98</v>
      </c>
      <c r="I18" s="156">
        <v>0</v>
      </c>
      <c r="J18" s="132">
        <v>300</v>
      </c>
      <c r="K18" s="156">
        <v>399.98</v>
      </c>
      <c r="L18" s="132">
        <v>400</v>
      </c>
      <c r="M18" s="132"/>
    </row>
    <row r="19" spans="1:15" x14ac:dyDescent="0.2">
      <c r="A19" s="275">
        <v>5580</v>
      </c>
      <c r="B19" s="477" t="s">
        <v>1023</v>
      </c>
      <c r="C19" s="156"/>
      <c r="D19" s="156"/>
      <c r="E19" s="156"/>
      <c r="F19" s="156"/>
      <c r="G19" s="156">
        <v>493.79</v>
      </c>
      <c r="H19" s="156">
        <v>2237.65</v>
      </c>
      <c r="I19" s="156">
        <v>5441.36</v>
      </c>
      <c r="J19" s="132">
        <v>4000</v>
      </c>
      <c r="K19" s="156">
        <v>413.51</v>
      </c>
      <c r="L19" s="132">
        <v>4000</v>
      </c>
      <c r="M19" s="132"/>
    </row>
    <row r="20" spans="1:15" ht="13.5" thickBot="1" x14ac:dyDescent="0.25">
      <c r="A20" s="30">
        <v>5590</v>
      </c>
      <c r="B20" s="28" t="s">
        <v>1377</v>
      </c>
      <c r="C20" s="41"/>
      <c r="D20" s="41"/>
      <c r="E20" s="41"/>
      <c r="F20" s="41"/>
      <c r="G20" s="41"/>
      <c r="H20" s="41"/>
      <c r="I20" s="41"/>
      <c r="J20" s="159"/>
      <c r="K20" s="41"/>
      <c r="L20" s="159">
        <v>7500</v>
      </c>
      <c r="M20" s="159"/>
    </row>
    <row r="21" spans="1:15" x14ac:dyDescent="0.2">
      <c r="A21" s="12"/>
      <c r="B21" s="18" t="s">
        <v>442</v>
      </c>
      <c r="C21" s="39">
        <f t="shared" ref="C21:M21" si="0">SUM(C13:C20)</f>
        <v>19070.73</v>
      </c>
      <c r="D21" s="39">
        <f t="shared" si="0"/>
        <v>19720.39</v>
      </c>
      <c r="E21" s="39">
        <f t="shared" si="0"/>
        <v>20427.78</v>
      </c>
      <c r="F21" s="39">
        <f t="shared" si="0"/>
        <v>29491.690000000002</v>
      </c>
      <c r="G21" s="39">
        <f t="shared" si="0"/>
        <v>33150.769999999997</v>
      </c>
      <c r="H21" s="39">
        <f t="shared" si="0"/>
        <v>41542.080000000002</v>
      </c>
      <c r="I21" s="39">
        <f t="shared" si="0"/>
        <v>44323.6</v>
      </c>
      <c r="J21" s="40">
        <f t="shared" ref="J21" si="1">SUM(J13:J20)</f>
        <v>43900</v>
      </c>
      <c r="K21" s="39">
        <f t="shared" si="0"/>
        <v>11764.61</v>
      </c>
      <c r="L21" s="40">
        <f t="shared" si="0"/>
        <v>56000</v>
      </c>
      <c r="M21" s="135">
        <f t="shared" si="0"/>
        <v>0</v>
      </c>
    </row>
    <row r="22" spans="1:15" x14ac:dyDescent="0.2">
      <c r="A22" s="12"/>
      <c r="B22" s="18"/>
      <c r="C22" s="39"/>
      <c r="D22" s="39"/>
      <c r="E22" s="39"/>
      <c r="F22" s="39"/>
      <c r="G22" s="39"/>
      <c r="H22" s="39"/>
      <c r="I22" s="39"/>
      <c r="J22" s="40"/>
      <c r="K22" s="39"/>
      <c r="L22" s="40"/>
      <c r="M22" s="135"/>
    </row>
    <row r="23" spans="1:15" ht="13.5" thickBot="1" x14ac:dyDescent="0.25">
      <c r="A23" s="21"/>
      <c r="B23" s="22" t="s">
        <v>132</v>
      </c>
      <c r="C23" s="23">
        <f t="shared" ref="C23:L23" si="2">+C21+C11</f>
        <v>21070.73</v>
      </c>
      <c r="D23" s="23">
        <f t="shared" si="2"/>
        <v>21720.39</v>
      </c>
      <c r="E23" s="23">
        <f t="shared" si="2"/>
        <v>22312.94</v>
      </c>
      <c r="F23" s="23">
        <f t="shared" si="2"/>
        <v>31491.690000000002</v>
      </c>
      <c r="G23" s="23">
        <f t="shared" si="2"/>
        <v>33814.289999999994</v>
      </c>
      <c r="H23" s="23">
        <f t="shared" si="2"/>
        <v>43349.700000000004</v>
      </c>
      <c r="I23" s="23">
        <f t="shared" si="2"/>
        <v>46323.6</v>
      </c>
      <c r="J23" s="43">
        <f t="shared" ref="J23" si="3">+J21+J11</f>
        <v>46000</v>
      </c>
      <c r="K23" s="23">
        <f t="shared" si="2"/>
        <v>11764.61</v>
      </c>
      <c r="L23" s="43">
        <f t="shared" si="2"/>
        <v>58100</v>
      </c>
      <c r="M23" s="372">
        <f>+L23</f>
        <v>58100</v>
      </c>
      <c r="O23" s="254"/>
    </row>
    <row r="24" spans="1:15" ht="13.5" thickTop="1" x14ac:dyDescent="0.2">
      <c r="A24" s="4"/>
      <c r="B24" s="4"/>
      <c r="C24" s="25"/>
      <c r="D24" s="25"/>
      <c r="E24" s="25"/>
      <c r="F24" s="25"/>
      <c r="G24" s="25"/>
      <c r="H24" s="25"/>
      <c r="I24" s="25"/>
      <c r="J24" s="25"/>
      <c r="K24" s="4"/>
      <c r="L24" s="25"/>
      <c r="M24" s="84"/>
    </row>
    <row r="25" spans="1:15" x14ac:dyDescent="0.2">
      <c r="A25" s="264">
        <v>5247</v>
      </c>
      <c r="B25" s="4" t="s">
        <v>1681</v>
      </c>
      <c r="C25" s="25"/>
      <c r="D25" s="25"/>
      <c r="E25" s="25"/>
      <c r="F25" s="25"/>
      <c r="G25" s="25"/>
      <c r="H25" s="25"/>
      <c r="I25" s="25"/>
      <c r="J25" s="25"/>
      <c r="K25" s="4"/>
      <c r="L25" s="25"/>
      <c r="M25" s="84"/>
    </row>
    <row r="26" spans="1:15" x14ac:dyDescent="0.2">
      <c r="A26" s="407"/>
      <c r="B26" s="4"/>
      <c r="C26" s="25"/>
      <c r="D26" s="25"/>
      <c r="E26" s="25"/>
      <c r="F26" s="25"/>
      <c r="G26" s="25"/>
      <c r="H26" s="25"/>
      <c r="I26" s="25"/>
      <c r="J26" s="25"/>
      <c r="K26" s="4"/>
      <c r="L26" s="25"/>
      <c r="M26" s="84"/>
    </row>
    <row r="27" spans="1:15" x14ac:dyDescent="0.2">
      <c r="A27" s="275"/>
      <c r="C27" s="25"/>
      <c r="D27" s="25"/>
      <c r="E27" s="25"/>
      <c r="F27" s="25"/>
      <c r="G27" s="25"/>
      <c r="H27" s="25"/>
      <c r="I27" s="25"/>
      <c r="J27" s="25"/>
      <c r="K27" s="4"/>
      <c r="L27" s="25"/>
      <c r="M27" s="25"/>
    </row>
    <row r="28" spans="1:15" ht="13.5" thickBot="1" x14ac:dyDescent="0.25">
      <c r="B28" s="161"/>
    </row>
    <row r="29" spans="1:15" ht="13.5" thickTop="1" x14ac:dyDescent="0.2">
      <c r="A29" s="517"/>
      <c r="B29" s="518"/>
      <c r="C29" s="519" t="s">
        <v>122</v>
      </c>
      <c r="D29" s="520" t="s">
        <v>122</v>
      </c>
      <c r="E29" s="520" t="s">
        <v>122</v>
      </c>
      <c r="H29" s="521" t="s">
        <v>542</v>
      </c>
      <c r="I29" s="522" t="s">
        <v>9</v>
      </c>
      <c r="J29" s="523" t="s">
        <v>1073</v>
      </c>
      <c r="K29" s="522" t="s">
        <v>682</v>
      </c>
      <c r="L29" s="524"/>
      <c r="M29" s="523"/>
    </row>
    <row r="30" spans="1:15" ht="13.5" thickBot="1" x14ac:dyDescent="0.25">
      <c r="A30" s="525" t="s">
        <v>123</v>
      </c>
      <c r="B30" s="526"/>
      <c r="C30" s="527" t="s">
        <v>334</v>
      </c>
      <c r="D30" s="527" t="s">
        <v>718</v>
      </c>
      <c r="E30" s="528" t="s">
        <v>734</v>
      </c>
      <c r="H30" s="529" t="s">
        <v>899</v>
      </c>
      <c r="I30" s="529" t="s">
        <v>900</v>
      </c>
      <c r="J30" s="528" t="s">
        <v>1075</v>
      </c>
      <c r="K30" s="530" t="s">
        <v>1075</v>
      </c>
      <c r="L30" s="531" t="s">
        <v>1074</v>
      </c>
      <c r="M30" s="529"/>
    </row>
    <row r="31" spans="1:15" ht="13.5" thickTop="1" x14ac:dyDescent="0.2">
      <c r="A31" s="548"/>
      <c r="B31" s="549"/>
      <c r="C31" s="536"/>
      <c r="D31" s="536"/>
      <c r="E31" s="536"/>
      <c r="H31" s="537"/>
      <c r="I31" s="568"/>
      <c r="J31" s="539"/>
      <c r="K31" s="545"/>
      <c r="L31" s="538"/>
      <c r="M31" s="539"/>
    </row>
    <row r="32" spans="1:15" x14ac:dyDescent="0.2">
      <c r="A32" s="548">
        <v>5100</v>
      </c>
      <c r="B32" s="549" t="s">
        <v>670</v>
      </c>
      <c r="C32" s="536">
        <v>2000</v>
      </c>
      <c r="D32" s="536">
        <v>2000</v>
      </c>
      <c r="E32" s="536">
        <v>1885.16</v>
      </c>
      <c r="H32" s="537">
        <f>+J9</f>
        <v>2100</v>
      </c>
      <c r="I32" s="568">
        <f>+L9</f>
        <v>2100</v>
      </c>
      <c r="J32" s="539">
        <f t="shared" ref="J32:J39" si="4">+I32-H32</f>
        <v>0</v>
      </c>
      <c r="K32" s="545" t="str">
        <f t="shared" ref="K32:K39" si="5">IF(H32+I32&lt;&gt;0,IF(H32&lt;&gt;0,IF(J32&lt;&gt;0,ROUND((+J32/H32),4),""),1),"")</f>
        <v/>
      </c>
      <c r="L32" s="538"/>
      <c r="M32" s="539"/>
    </row>
    <row r="33" spans="1:13" x14ac:dyDescent="0.2">
      <c r="A33" s="551">
        <v>5247</v>
      </c>
      <c r="B33" s="540" t="s">
        <v>939</v>
      </c>
      <c r="C33" s="544">
        <v>14500</v>
      </c>
      <c r="D33" s="544">
        <v>15250</v>
      </c>
      <c r="E33" s="544">
        <v>16000</v>
      </c>
      <c r="H33" s="543">
        <f>+J13</f>
        <v>36000</v>
      </c>
      <c r="I33" s="568">
        <f t="shared" ref="I33:I39" si="6">+L13</f>
        <v>40000</v>
      </c>
      <c r="J33" s="539">
        <f t="shared" si="4"/>
        <v>4000</v>
      </c>
      <c r="K33" s="545">
        <f t="shared" si="5"/>
        <v>0.1111</v>
      </c>
      <c r="L33" s="538" t="s">
        <v>1682</v>
      </c>
      <c r="M33" s="539"/>
    </row>
    <row r="34" spans="1:13" x14ac:dyDescent="0.2">
      <c r="A34" s="551">
        <v>5341</v>
      </c>
      <c r="B34" s="540" t="s">
        <v>666</v>
      </c>
      <c r="C34" s="546">
        <v>1333.75</v>
      </c>
      <c r="D34" s="546">
        <v>1245.3900000000001</v>
      </c>
      <c r="E34" s="546">
        <v>1072.8</v>
      </c>
      <c r="H34" s="543">
        <f t="shared" ref="H34:H39" si="7">+J14</f>
        <v>1900</v>
      </c>
      <c r="I34" s="568">
        <f t="shared" si="6"/>
        <v>2000</v>
      </c>
      <c r="J34" s="539">
        <f t="shared" si="4"/>
        <v>100</v>
      </c>
      <c r="K34" s="545">
        <f t="shared" si="5"/>
        <v>5.2600000000000001E-2</v>
      </c>
      <c r="L34" s="538" t="s">
        <v>1403</v>
      </c>
      <c r="M34" s="539"/>
    </row>
    <row r="35" spans="1:13" x14ac:dyDescent="0.2">
      <c r="A35" s="551">
        <v>5346</v>
      </c>
      <c r="B35" s="540" t="s">
        <v>1041</v>
      </c>
      <c r="C35" s="544"/>
      <c r="D35" s="544"/>
      <c r="E35" s="544"/>
      <c r="H35" s="543">
        <f t="shared" si="7"/>
        <v>700</v>
      </c>
      <c r="I35" s="568">
        <f t="shared" si="6"/>
        <v>1100</v>
      </c>
      <c r="J35" s="539">
        <f t="shared" si="4"/>
        <v>400</v>
      </c>
      <c r="K35" s="545">
        <f t="shared" si="5"/>
        <v>0.57140000000000002</v>
      </c>
      <c r="L35" s="538" t="s">
        <v>1683</v>
      </c>
      <c r="M35" s="539"/>
    </row>
    <row r="36" spans="1:13" x14ac:dyDescent="0.2">
      <c r="A36" s="551">
        <v>5347</v>
      </c>
      <c r="B36" s="540" t="s">
        <v>613</v>
      </c>
      <c r="C36" s="544">
        <v>125</v>
      </c>
      <c r="D36" s="544">
        <v>275</v>
      </c>
      <c r="E36" s="544">
        <v>125</v>
      </c>
      <c r="H36" s="543">
        <f t="shared" si="7"/>
        <v>400</v>
      </c>
      <c r="I36" s="568">
        <f t="shared" si="6"/>
        <v>400</v>
      </c>
      <c r="J36" s="539">
        <f t="shared" si="4"/>
        <v>0</v>
      </c>
      <c r="K36" s="545" t="str">
        <f t="shared" si="5"/>
        <v/>
      </c>
      <c r="L36" s="538"/>
      <c r="M36" s="539"/>
    </row>
    <row r="37" spans="1:13" x14ac:dyDescent="0.2">
      <c r="A37" s="551">
        <v>5348</v>
      </c>
      <c r="B37" s="540" t="s">
        <v>611</v>
      </c>
      <c r="C37" s="544">
        <v>2950</v>
      </c>
      <c r="D37" s="544">
        <v>2950</v>
      </c>
      <c r="E37" s="544">
        <v>3050</v>
      </c>
      <c r="H37" s="543">
        <f t="shared" si="7"/>
        <v>600</v>
      </c>
      <c r="I37" s="568">
        <f t="shared" si="6"/>
        <v>600</v>
      </c>
      <c r="J37" s="539">
        <f t="shared" si="4"/>
        <v>0</v>
      </c>
      <c r="K37" s="545" t="str">
        <f t="shared" si="5"/>
        <v/>
      </c>
      <c r="L37" s="538"/>
      <c r="M37" s="539"/>
    </row>
    <row r="38" spans="1:13" x14ac:dyDescent="0.2">
      <c r="A38" s="551">
        <v>5349</v>
      </c>
      <c r="B38" s="540" t="s">
        <v>22</v>
      </c>
      <c r="C38" s="544">
        <v>161.97999999999999</v>
      </c>
      <c r="D38" s="544">
        <v>0</v>
      </c>
      <c r="E38" s="544">
        <v>179.98</v>
      </c>
      <c r="H38" s="543">
        <f t="shared" si="7"/>
        <v>300</v>
      </c>
      <c r="I38" s="568">
        <f t="shared" si="6"/>
        <v>400</v>
      </c>
      <c r="J38" s="539">
        <f t="shared" si="4"/>
        <v>100</v>
      </c>
      <c r="K38" s="545">
        <f t="shared" si="5"/>
        <v>0.33329999999999999</v>
      </c>
      <c r="L38" s="538" t="s">
        <v>1405</v>
      </c>
      <c r="M38" s="539"/>
    </row>
    <row r="39" spans="1:13" x14ac:dyDescent="0.2">
      <c r="A39" s="551">
        <v>5580</v>
      </c>
      <c r="B39" s="556" t="s">
        <v>1023</v>
      </c>
      <c r="C39" s="544"/>
      <c r="D39" s="544"/>
      <c r="E39" s="544"/>
      <c r="H39" s="543">
        <f t="shared" si="7"/>
        <v>4000</v>
      </c>
      <c r="I39" s="568">
        <f t="shared" si="6"/>
        <v>4000</v>
      </c>
      <c r="J39" s="539">
        <f t="shared" si="4"/>
        <v>0</v>
      </c>
      <c r="K39" s="545" t="str">
        <f t="shared" si="5"/>
        <v/>
      </c>
      <c r="L39" s="538"/>
      <c r="M39" s="539"/>
    </row>
    <row r="40" spans="1:13" x14ac:dyDescent="0.2">
      <c r="A40" s="551">
        <v>5590</v>
      </c>
      <c r="B40" s="556" t="s">
        <v>990</v>
      </c>
      <c r="C40" s="544"/>
      <c r="D40" s="544"/>
      <c r="E40" s="544"/>
      <c r="H40" s="543">
        <f t="shared" ref="H40" si="8">+J20</f>
        <v>0</v>
      </c>
      <c r="I40" s="568">
        <f t="shared" ref="I40" si="9">+L20</f>
        <v>7500</v>
      </c>
      <c r="J40" s="539">
        <f t="shared" ref="J40" si="10">+I40-H40</f>
        <v>7500</v>
      </c>
      <c r="K40" s="545">
        <f t="shared" ref="K40" si="11">IF(H40+I40&lt;&gt;0,IF(H40&lt;&gt;0,IF(J40&lt;&gt;0,ROUND((+J40/H40),4),""),1),"")</f>
        <v>1</v>
      </c>
      <c r="L40" s="538" t="s">
        <v>1404</v>
      </c>
      <c r="M40" s="539"/>
    </row>
    <row r="41" spans="1:13" x14ac:dyDescent="0.2">
      <c r="A41" s="563"/>
      <c r="B41" s="563"/>
      <c r="C41" s="836"/>
      <c r="D41" s="836"/>
      <c r="E41" s="836"/>
      <c r="H41" s="837"/>
      <c r="I41" s="838"/>
      <c r="J41" s="837"/>
      <c r="K41" s="839"/>
      <c r="L41" s="837"/>
      <c r="M41" s="837"/>
    </row>
    <row r="42" spans="1:13" x14ac:dyDescent="0.2">
      <c r="B42" s="4" t="s">
        <v>1600</v>
      </c>
      <c r="C42" s="25"/>
      <c r="D42" s="25"/>
      <c r="E42" s="25"/>
      <c r="F42" s="25"/>
      <c r="G42" s="25"/>
      <c r="H42" s="849">
        <f>SUM(H31:H41)</f>
        <v>46000</v>
      </c>
      <c r="I42" s="849">
        <f>SUM(I31:I41)</f>
        <v>58100</v>
      </c>
      <c r="J42" s="208">
        <f t="shared" ref="J42" si="12">+I42-H42</f>
        <v>12100</v>
      </c>
      <c r="K42" s="850">
        <f t="shared" ref="K42" si="13">IF(H42+I42&lt;&gt;0,IF(H42&lt;&gt;0,IF(J42&lt;&gt;0,ROUND((+J42/H42),4),""),1),"")</f>
        <v>0.26300000000000001</v>
      </c>
    </row>
    <row r="43" spans="1:13" x14ac:dyDescent="0.2">
      <c r="A43" s="367"/>
      <c r="B43" s="130"/>
      <c r="C43" s="130"/>
      <c r="D43" s="130"/>
      <c r="E43" s="130"/>
      <c r="F43" s="130"/>
      <c r="G43" s="130"/>
      <c r="H43" s="367"/>
      <c r="I43" s="367"/>
      <c r="J43" s="367"/>
    </row>
    <row r="44" spans="1:13" x14ac:dyDescent="0.2">
      <c r="A44" s="487"/>
      <c r="B44" s="161"/>
      <c r="C44" s="130"/>
      <c r="D44" s="130"/>
      <c r="E44" s="130"/>
      <c r="F44" s="130"/>
      <c r="G44" s="130"/>
      <c r="H44" s="487"/>
      <c r="I44" s="130"/>
      <c r="J44" s="367"/>
    </row>
    <row r="45" spans="1:13" x14ac:dyDescent="0.2">
      <c r="A45" s="487"/>
      <c r="B45" s="161"/>
      <c r="C45" s="130"/>
      <c r="D45" s="130"/>
      <c r="E45" s="130"/>
      <c r="F45" s="130"/>
      <c r="G45" s="130"/>
      <c r="H45" s="487"/>
      <c r="I45" s="130"/>
      <c r="J45" s="367"/>
    </row>
  </sheetData>
  <hyperlinks>
    <hyperlink ref="A1" location="'Working Budget with funding det'!A1" display="Main "/>
    <hyperlink ref="B1" location="'Table of Contents'!A1" display="TOC"/>
  </hyperlinks>
  <pageMargins left="0.7" right="0.7" top="0.75" bottom="0.75" header="0.3" footer="0.3"/>
  <pageSetup scale="86" orientation="landscape" r:id="rId1"/>
  <headerFooter>
    <oddFooter>&amp;L&amp;D &amp;T&amp;C&amp;F&amp;R&amp;A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85" zoomScaleNormal="85" workbookViewId="0">
      <pane ySplit="7" topLeftCell="A8" activePane="bottomLeft" state="frozen"/>
      <selection activeCell="K15" sqref="K15"/>
      <selection pane="bottomLeft" activeCell="L16" sqref="L16"/>
    </sheetView>
  </sheetViews>
  <sheetFormatPr defaultRowHeight="12.75" x14ac:dyDescent="0.2"/>
  <cols>
    <col min="1" max="1" width="9.5" style="4" bestFit="1" customWidth="1"/>
    <col min="2" max="2" width="37.83203125" style="4" customWidth="1"/>
    <col min="3" max="7" width="14.5" style="25" hidden="1" customWidth="1"/>
    <col min="8" max="10" width="14.5" style="25" customWidth="1"/>
    <col min="11" max="11" width="14.5" style="4" customWidth="1"/>
    <col min="12" max="14" width="14.5" style="25" customWidth="1"/>
    <col min="15" max="17" width="14.5" style="4" customWidth="1"/>
    <col min="18" max="18" width="14.6640625" customWidth="1"/>
  </cols>
  <sheetData>
    <row r="1" spans="1:14" x14ac:dyDescent="0.2">
      <c r="A1" s="410" t="s">
        <v>1013</v>
      </c>
      <c r="B1" s="410" t="s">
        <v>1418</v>
      </c>
      <c r="N1" s="4"/>
    </row>
    <row r="2" spans="1:14" x14ac:dyDescent="0.2">
      <c r="A2" s="4" t="s">
        <v>254</v>
      </c>
      <c r="H2" s="25" t="s">
        <v>252</v>
      </c>
      <c r="K2" s="86" t="s">
        <v>531</v>
      </c>
      <c r="M2" s="85" t="s">
        <v>534</v>
      </c>
    </row>
    <row r="3" spans="1:14" ht="13.5" thickBot="1" x14ac:dyDescent="0.25">
      <c r="M3" s="4"/>
      <c r="N3" s="4"/>
    </row>
    <row r="4" spans="1:14"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4" x14ac:dyDescent="0.2">
      <c r="A5" s="93"/>
      <c r="B5" s="216"/>
      <c r="C5" s="137"/>
      <c r="D5" s="94"/>
      <c r="E5" s="120"/>
      <c r="F5" s="94"/>
      <c r="G5" s="94"/>
      <c r="H5" s="120"/>
      <c r="I5" s="318"/>
      <c r="J5" s="318"/>
      <c r="K5" s="120" t="s">
        <v>509</v>
      </c>
      <c r="L5" s="95" t="s">
        <v>7</v>
      </c>
      <c r="M5" s="209" t="s">
        <v>783</v>
      </c>
    </row>
    <row r="6" spans="1:14" x14ac:dyDescent="0.2">
      <c r="A6" s="93"/>
      <c r="B6" s="216"/>
      <c r="C6" s="137"/>
      <c r="D6" s="137"/>
      <c r="E6" s="137"/>
      <c r="F6" s="137"/>
      <c r="G6" s="137"/>
      <c r="H6" s="137"/>
      <c r="I6" s="95"/>
      <c r="J6" s="95"/>
      <c r="K6" s="137"/>
      <c r="L6" s="95" t="s">
        <v>8</v>
      </c>
      <c r="M6" s="51" t="s">
        <v>537</v>
      </c>
    </row>
    <row r="7" spans="1:14"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4" ht="13.5" thickTop="1" x14ac:dyDescent="0.2">
      <c r="A8" s="30"/>
      <c r="B8" s="218"/>
      <c r="C8" s="142"/>
      <c r="D8" s="19"/>
      <c r="E8" s="19"/>
      <c r="F8" s="19"/>
      <c r="G8" s="19"/>
      <c r="H8" s="19"/>
      <c r="I8" s="19"/>
      <c r="J8" s="20"/>
      <c r="K8" s="19"/>
      <c r="L8" s="20"/>
      <c r="M8" s="20"/>
    </row>
    <row r="9" spans="1:14" x14ac:dyDescent="0.2">
      <c r="A9" s="12">
        <v>5249</v>
      </c>
      <c r="B9" s="69" t="s">
        <v>532</v>
      </c>
      <c r="C9" s="140">
        <v>4821.76</v>
      </c>
      <c r="D9" s="14">
        <v>3599.04</v>
      </c>
      <c r="E9" s="14">
        <v>4277.18</v>
      </c>
      <c r="F9" s="14">
        <v>3350.66</v>
      </c>
      <c r="G9" s="14">
        <v>3252.3</v>
      </c>
      <c r="H9" s="14">
        <v>3636.21</v>
      </c>
      <c r="I9" s="156">
        <v>3711.79</v>
      </c>
      <c r="J9" s="132">
        <v>4400</v>
      </c>
      <c r="K9" s="14">
        <v>1749.01</v>
      </c>
      <c r="L9" s="132">
        <v>4400</v>
      </c>
      <c r="M9" s="132"/>
    </row>
    <row r="10" spans="1:14" x14ac:dyDescent="0.2">
      <c r="A10" s="12">
        <v>5304</v>
      </c>
      <c r="B10" s="69" t="s">
        <v>1051</v>
      </c>
      <c r="C10" s="140">
        <v>30500</v>
      </c>
      <c r="D10" s="156">
        <v>28500</v>
      </c>
      <c r="E10" s="156">
        <v>28500</v>
      </c>
      <c r="F10" s="156">
        <v>28500</v>
      </c>
      <c r="G10" s="156">
        <v>26000</v>
      </c>
      <c r="H10" s="156">
        <v>26000</v>
      </c>
      <c r="I10" s="156">
        <v>27500</v>
      </c>
      <c r="J10" s="132">
        <v>31000</v>
      </c>
      <c r="K10" s="14">
        <v>28000</v>
      </c>
      <c r="L10" s="132">
        <v>31000</v>
      </c>
      <c r="M10" s="132"/>
    </row>
    <row r="11" spans="1:14" x14ac:dyDescent="0.2">
      <c r="A11" s="12">
        <v>5305</v>
      </c>
      <c r="B11" s="69" t="s">
        <v>688</v>
      </c>
      <c r="C11" s="140"/>
      <c r="D11" s="14">
        <v>0</v>
      </c>
      <c r="E11" s="14"/>
      <c r="F11" s="14"/>
      <c r="G11" s="14">
        <v>783.99</v>
      </c>
      <c r="H11" s="14">
        <v>467.88</v>
      </c>
      <c r="I11" s="156">
        <v>421.75</v>
      </c>
      <c r="J11" s="132">
        <v>800</v>
      </c>
      <c r="K11" s="14"/>
      <c r="L11" s="132">
        <v>800</v>
      </c>
      <c r="M11" s="132"/>
    </row>
    <row r="12" spans="1:14" x14ac:dyDescent="0.2">
      <c r="A12" s="12">
        <v>5306</v>
      </c>
      <c r="B12" s="69" t="s">
        <v>1024</v>
      </c>
      <c r="C12" s="263"/>
      <c r="D12" s="39">
        <v>3250</v>
      </c>
      <c r="E12" s="39"/>
      <c r="F12" s="39"/>
      <c r="G12" s="39">
        <v>975</v>
      </c>
      <c r="H12" s="39">
        <v>3400</v>
      </c>
      <c r="I12" s="244">
        <v>3740</v>
      </c>
      <c r="J12" s="135">
        <v>3500</v>
      </c>
      <c r="K12" s="14"/>
      <c r="L12" s="135">
        <v>3500</v>
      </c>
      <c r="M12" s="135"/>
    </row>
    <row r="13" spans="1:14" x14ac:dyDescent="0.2">
      <c r="A13" s="12">
        <v>5307</v>
      </c>
      <c r="B13" s="69" t="s">
        <v>680</v>
      </c>
      <c r="C13" s="263">
        <v>1500</v>
      </c>
      <c r="D13" s="39">
        <v>1500</v>
      </c>
      <c r="E13" s="39">
        <v>250</v>
      </c>
      <c r="F13" s="39">
        <v>1500</v>
      </c>
      <c r="G13" s="39">
        <v>1500</v>
      </c>
      <c r="H13" s="39">
        <v>1500</v>
      </c>
      <c r="I13" s="244">
        <v>500</v>
      </c>
      <c r="J13" s="135">
        <v>2000</v>
      </c>
      <c r="K13" s="14"/>
      <c r="L13" s="135">
        <v>2000</v>
      </c>
      <c r="M13" s="135"/>
    </row>
    <row r="14" spans="1:14" x14ac:dyDescent="0.2">
      <c r="A14" s="12">
        <v>5310</v>
      </c>
      <c r="B14" s="69" t="s">
        <v>1251</v>
      </c>
      <c r="C14" s="263"/>
      <c r="D14" s="39"/>
      <c r="E14" s="39"/>
      <c r="F14" s="39"/>
      <c r="G14" s="39"/>
      <c r="H14" s="39">
        <v>16500</v>
      </c>
      <c r="I14" s="244">
        <v>16500</v>
      </c>
      <c r="J14" s="135">
        <v>1500</v>
      </c>
      <c r="K14" s="14">
        <v>1500</v>
      </c>
      <c r="L14" s="135">
        <v>6000</v>
      </c>
      <c r="M14" s="135"/>
    </row>
    <row r="15" spans="1:14" x14ac:dyDescent="0.2">
      <c r="A15" s="12">
        <v>5340</v>
      </c>
      <c r="B15" s="69" t="s">
        <v>54</v>
      </c>
      <c r="C15" s="140">
        <v>459</v>
      </c>
      <c r="D15" s="14">
        <v>0</v>
      </c>
      <c r="E15" s="14">
        <v>201.2</v>
      </c>
      <c r="F15" s="14"/>
      <c r="G15" s="14">
        <v>192.25</v>
      </c>
      <c r="H15" s="14">
        <v>10355.67</v>
      </c>
      <c r="I15" s="156">
        <v>10765.91</v>
      </c>
      <c r="J15" s="132">
        <v>11000</v>
      </c>
      <c r="K15" s="14">
        <v>5611.34</v>
      </c>
      <c r="L15" s="132">
        <v>13000</v>
      </c>
      <c r="M15" s="132"/>
    </row>
    <row r="16" spans="1:14" x14ac:dyDescent="0.2">
      <c r="A16" s="12">
        <v>5344</v>
      </c>
      <c r="B16" s="69" t="s">
        <v>148</v>
      </c>
      <c r="C16" s="142">
        <v>2250.5300000000002</v>
      </c>
      <c r="D16" s="19">
        <v>2192.2199999999998</v>
      </c>
      <c r="E16" s="19">
        <v>2291.04</v>
      </c>
      <c r="F16" s="19">
        <v>2358.7600000000002</v>
      </c>
      <c r="G16" s="19">
        <v>2834.65</v>
      </c>
      <c r="H16" s="19">
        <v>3092.19</v>
      </c>
      <c r="I16" s="136">
        <v>3798.65</v>
      </c>
      <c r="J16" s="134">
        <v>3300</v>
      </c>
      <c r="K16" s="19">
        <v>2044.48</v>
      </c>
      <c r="L16" s="134">
        <v>3900</v>
      </c>
      <c r="M16" s="134"/>
    </row>
    <row r="17" spans="1:13" x14ac:dyDescent="0.2">
      <c r="A17" s="275">
        <v>5350</v>
      </c>
      <c r="B17" s="331" t="s">
        <v>868</v>
      </c>
      <c r="C17" s="460"/>
      <c r="D17" s="156"/>
      <c r="E17" s="156">
        <v>6309</v>
      </c>
      <c r="F17" s="156">
        <v>6309</v>
      </c>
      <c r="G17" s="156">
        <v>6309</v>
      </c>
      <c r="H17" s="156">
        <v>6309</v>
      </c>
      <c r="I17" s="156">
        <v>12618</v>
      </c>
      <c r="J17" s="132">
        <v>6309</v>
      </c>
      <c r="K17" s="156"/>
      <c r="L17" s="132">
        <v>6309</v>
      </c>
      <c r="M17" s="321"/>
    </row>
    <row r="18" spans="1:13" x14ac:dyDescent="0.2">
      <c r="A18" s="12">
        <v>5420</v>
      </c>
      <c r="B18" s="69" t="s">
        <v>690</v>
      </c>
      <c r="C18" s="140">
        <v>1590.17</v>
      </c>
      <c r="D18" s="14">
        <f>737+737</f>
        <v>1474</v>
      </c>
      <c r="E18" s="14">
        <v>1474</v>
      </c>
      <c r="F18" s="14">
        <v>1556.76</v>
      </c>
      <c r="G18" s="14">
        <v>1474</v>
      </c>
      <c r="H18" s="14">
        <v>737</v>
      </c>
      <c r="I18" s="156">
        <v>1499</v>
      </c>
      <c r="J18" s="132">
        <v>1600</v>
      </c>
      <c r="K18" s="14"/>
      <c r="L18" s="132">
        <v>1600</v>
      </c>
      <c r="M18" s="132"/>
    </row>
    <row r="19" spans="1:13" x14ac:dyDescent="0.2">
      <c r="A19" s="12">
        <v>5580</v>
      </c>
      <c r="B19" s="13" t="s">
        <v>533</v>
      </c>
      <c r="C19" s="14">
        <v>175.91</v>
      </c>
      <c r="D19" s="14">
        <f>-737+765.3</f>
        <v>28.299999999999955</v>
      </c>
      <c r="E19" s="14">
        <v>85</v>
      </c>
      <c r="F19" s="14">
        <v>88.5</v>
      </c>
      <c r="G19" s="14"/>
      <c r="H19" s="14">
        <v>118.5</v>
      </c>
      <c r="I19" s="156"/>
      <c r="J19" s="132">
        <v>250</v>
      </c>
      <c r="K19" s="14"/>
      <c r="L19" s="132">
        <v>250</v>
      </c>
      <c r="M19" s="132"/>
    </row>
    <row r="20" spans="1:13" ht="13.5" thickBot="1" x14ac:dyDescent="0.25">
      <c r="A20" s="12"/>
      <c r="B20" s="28"/>
      <c r="C20" s="41"/>
      <c r="D20" s="41"/>
      <c r="E20" s="41"/>
      <c r="F20" s="41"/>
      <c r="G20" s="41"/>
      <c r="H20" s="41"/>
      <c r="I20" s="41"/>
      <c r="J20" s="159"/>
      <c r="K20" s="41"/>
      <c r="L20" s="159"/>
      <c r="M20" s="159"/>
    </row>
    <row r="21" spans="1:13" x14ac:dyDescent="0.2">
      <c r="A21" s="12"/>
      <c r="B21" s="18" t="s">
        <v>442</v>
      </c>
      <c r="C21" s="39">
        <f t="shared" ref="C21:K21" si="0">SUM(C9:C20)</f>
        <v>41297.370000000003</v>
      </c>
      <c r="D21" s="39">
        <f t="shared" si="0"/>
        <v>40543.560000000005</v>
      </c>
      <c r="E21" s="39">
        <f t="shared" si="0"/>
        <v>43387.42</v>
      </c>
      <c r="F21" s="39">
        <f>SUM(F9:F20)</f>
        <v>43663.680000000008</v>
      </c>
      <c r="G21" s="39">
        <f>SUM(G9:G20)</f>
        <v>43321.19</v>
      </c>
      <c r="H21" s="39">
        <f>SUM(H9:H20)</f>
        <v>72116.45</v>
      </c>
      <c r="I21" s="39">
        <f t="shared" si="0"/>
        <v>81055.099999999991</v>
      </c>
      <c r="J21" s="40">
        <f>SUM(J9:J20)</f>
        <v>65659</v>
      </c>
      <c r="K21" s="39">
        <f t="shared" si="0"/>
        <v>38904.83</v>
      </c>
      <c r="L21" s="40">
        <f>SUM(L9:L20)</f>
        <v>72759</v>
      </c>
      <c r="M21" s="40">
        <f>+L21</f>
        <v>72759</v>
      </c>
    </row>
    <row r="22" spans="1:13" x14ac:dyDescent="0.2">
      <c r="A22" s="12"/>
      <c r="B22" s="18"/>
      <c r="C22" s="39"/>
      <c r="D22" s="39"/>
      <c r="E22" s="39"/>
      <c r="F22" s="39"/>
      <c r="G22" s="39"/>
      <c r="H22" s="39"/>
      <c r="I22" s="39"/>
      <c r="J22" s="40"/>
      <c r="K22" s="39"/>
      <c r="L22" s="40"/>
      <c r="M22" s="40"/>
    </row>
    <row r="23" spans="1:13" ht="13.5" thickBot="1" x14ac:dyDescent="0.25">
      <c r="A23" s="21"/>
      <c r="B23" s="22" t="s">
        <v>132</v>
      </c>
      <c r="C23" s="23">
        <f t="shared" ref="C23:L23" si="1">+C21</f>
        <v>41297.370000000003</v>
      </c>
      <c r="D23" s="23">
        <f t="shared" si="1"/>
        <v>40543.560000000005</v>
      </c>
      <c r="E23" s="23">
        <f t="shared" si="1"/>
        <v>43387.42</v>
      </c>
      <c r="F23" s="23">
        <f>+F21</f>
        <v>43663.680000000008</v>
      </c>
      <c r="G23" s="23">
        <f>+G21</f>
        <v>43321.19</v>
      </c>
      <c r="H23" s="23">
        <f>+H21</f>
        <v>72116.45</v>
      </c>
      <c r="I23" s="23">
        <f t="shared" si="1"/>
        <v>81055.099999999991</v>
      </c>
      <c r="J23" s="43">
        <f t="shared" ref="J23" si="2">+J21</f>
        <v>65659</v>
      </c>
      <c r="K23" s="23">
        <f t="shared" si="1"/>
        <v>38904.83</v>
      </c>
      <c r="L23" s="43">
        <f t="shared" si="1"/>
        <v>72759</v>
      </c>
      <c r="M23" s="43">
        <f>+L23</f>
        <v>72759</v>
      </c>
    </row>
    <row r="24" spans="1:13" ht="13.5" thickTop="1" x14ac:dyDescent="0.2">
      <c r="M24" s="84"/>
    </row>
    <row r="25" spans="1:13" ht="13.5" thickBot="1" x14ac:dyDescent="0.25"/>
    <row r="26" spans="1:13" ht="13.5" thickTop="1" x14ac:dyDescent="0.2">
      <c r="A26" s="517"/>
      <c r="B26" s="518"/>
      <c r="C26" s="519" t="s">
        <v>122</v>
      </c>
      <c r="D26" s="520" t="s">
        <v>122</v>
      </c>
      <c r="E26" s="520"/>
      <c r="H26" s="521" t="s">
        <v>542</v>
      </c>
      <c r="I26" s="522" t="s">
        <v>9</v>
      </c>
      <c r="J26" s="523" t="s">
        <v>1073</v>
      </c>
      <c r="K26" s="522" t="s">
        <v>682</v>
      </c>
      <c r="L26" s="524"/>
      <c r="M26" s="523"/>
    </row>
    <row r="27" spans="1:13" ht="13.5" thickBot="1" x14ac:dyDescent="0.25">
      <c r="A27" s="525" t="s">
        <v>123</v>
      </c>
      <c r="B27" s="526"/>
      <c r="C27" s="527" t="s">
        <v>334</v>
      </c>
      <c r="D27" s="527" t="s">
        <v>718</v>
      </c>
      <c r="E27" s="527"/>
      <c r="H27" s="529" t="s">
        <v>899</v>
      </c>
      <c r="I27" s="529" t="s">
        <v>900</v>
      </c>
      <c r="J27" s="528" t="s">
        <v>1075</v>
      </c>
      <c r="K27" s="530" t="s">
        <v>1075</v>
      </c>
      <c r="L27" s="531" t="s">
        <v>1074</v>
      </c>
      <c r="M27" s="529"/>
    </row>
    <row r="28" spans="1:13" ht="13.5" thickTop="1" x14ac:dyDescent="0.2">
      <c r="A28" s="548"/>
      <c r="B28" s="549"/>
      <c r="C28" s="536"/>
      <c r="D28" s="536"/>
      <c r="E28" s="536"/>
      <c r="H28" s="537"/>
      <c r="I28" s="536"/>
      <c r="J28" s="539"/>
      <c r="K28" s="545"/>
      <c r="L28" s="538"/>
      <c r="M28" s="539"/>
    </row>
    <row r="29" spans="1:13" x14ac:dyDescent="0.2">
      <c r="A29" s="551">
        <v>5249</v>
      </c>
      <c r="B29" s="540" t="s">
        <v>532</v>
      </c>
      <c r="C29" s="544">
        <v>4821.76</v>
      </c>
      <c r="D29" s="544">
        <v>3599.04</v>
      </c>
      <c r="E29" s="544"/>
      <c r="H29" s="543">
        <f>+J9</f>
        <v>4400</v>
      </c>
      <c r="I29" s="569">
        <f t="shared" ref="I29:I39" si="3">+L9</f>
        <v>4400</v>
      </c>
      <c r="J29" s="539">
        <f t="shared" ref="J29:J39" si="4">+I29-H29</f>
        <v>0</v>
      </c>
      <c r="K29" s="545" t="str">
        <f t="shared" ref="K29:K39" si="5">IF(H29+I29&lt;&gt;0,IF(H29&lt;&gt;0,IF(J29&lt;&gt;0,ROUND((+J29/H29),4),""),1),"")</f>
        <v/>
      </c>
      <c r="L29" s="538"/>
      <c r="M29" s="539"/>
    </row>
    <row r="30" spans="1:13" x14ac:dyDescent="0.2">
      <c r="A30" s="551">
        <v>5304</v>
      </c>
      <c r="B30" s="540" t="s">
        <v>1051</v>
      </c>
      <c r="C30" s="544">
        <v>30500</v>
      </c>
      <c r="D30" s="544">
        <v>28500</v>
      </c>
      <c r="E30" s="544"/>
      <c r="H30" s="543">
        <f t="shared" ref="H30:H39" si="6">+J10</f>
        <v>31000</v>
      </c>
      <c r="I30" s="569">
        <f t="shared" si="3"/>
        <v>31000</v>
      </c>
      <c r="J30" s="539">
        <f t="shared" si="4"/>
        <v>0</v>
      </c>
      <c r="K30" s="545" t="str">
        <f t="shared" si="5"/>
        <v/>
      </c>
      <c r="L30" s="538"/>
      <c r="M30" s="539"/>
    </row>
    <row r="31" spans="1:13" x14ac:dyDescent="0.2">
      <c r="A31" s="551">
        <v>5305</v>
      </c>
      <c r="B31" s="540" t="s">
        <v>688</v>
      </c>
      <c r="C31" s="544"/>
      <c r="D31" s="544">
        <v>0</v>
      </c>
      <c r="E31" s="544"/>
      <c r="H31" s="543">
        <f t="shared" si="6"/>
        <v>800</v>
      </c>
      <c r="I31" s="569">
        <f t="shared" si="3"/>
        <v>800</v>
      </c>
      <c r="J31" s="539">
        <f t="shared" si="4"/>
        <v>0</v>
      </c>
      <c r="K31" s="545" t="str">
        <f t="shared" si="5"/>
        <v/>
      </c>
      <c r="L31" s="538"/>
      <c r="M31" s="539"/>
    </row>
    <row r="32" spans="1:13" x14ac:dyDescent="0.2">
      <c r="A32" s="551">
        <v>5306</v>
      </c>
      <c r="B32" s="540" t="s">
        <v>1024</v>
      </c>
      <c r="C32" s="546"/>
      <c r="D32" s="546">
        <v>3250</v>
      </c>
      <c r="E32" s="546"/>
      <c r="H32" s="543">
        <f t="shared" si="6"/>
        <v>3500</v>
      </c>
      <c r="I32" s="569">
        <f t="shared" si="3"/>
        <v>3500</v>
      </c>
      <c r="J32" s="539">
        <f t="shared" si="4"/>
        <v>0</v>
      </c>
      <c r="K32" s="545" t="str">
        <f t="shared" si="5"/>
        <v/>
      </c>
      <c r="L32" s="538"/>
      <c r="M32" s="539"/>
    </row>
    <row r="33" spans="1:13" x14ac:dyDescent="0.2">
      <c r="A33" s="551">
        <v>5307</v>
      </c>
      <c r="B33" s="540" t="s">
        <v>680</v>
      </c>
      <c r="C33" s="546">
        <v>1500</v>
      </c>
      <c r="D33" s="546">
        <v>1500</v>
      </c>
      <c r="E33" s="546"/>
      <c r="H33" s="543">
        <f t="shared" si="6"/>
        <v>2000</v>
      </c>
      <c r="I33" s="569">
        <f t="shared" si="3"/>
        <v>2000</v>
      </c>
      <c r="J33" s="539">
        <f t="shared" si="4"/>
        <v>0</v>
      </c>
      <c r="K33" s="545" t="str">
        <f t="shared" si="5"/>
        <v/>
      </c>
      <c r="L33" s="538"/>
      <c r="M33" s="539"/>
    </row>
    <row r="34" spans="1:13" x14ac:dyDescent="0.2">
      <c r="A34" s="551">
        <v>5310</v>
      </c>
      <c r="B34" s="540" t="s">
        <v>1025</v>
      </c>
      <c r="C34" s="546"/>
      <c r="D34" s="546"/>
      <c r="E34" s="546"/>
      <c r="H34" s="543">
        <f t="shared" si="6"/>
        <v>1500</v>
      </c>
      <c r="I34" s="569">
        <f t="shared" si="3"/>
        <v>6000</v>
      </c>
      <c r="J34" s="539">
        <f t="shared" si="4"/>
        <v>4500</v>
      </c>
      <c r="K34" s="545">
        <f t="shared" si="5"/>
        <v>3</v>
      </c>
      <c r="L34" s="538" t="s">
        <v>1410</v>
      </c>
      <c r="M34" s="539"/>
    </row>
    <row r="35" spans="1:13" x14ac:dyDescent="0.2">
      <c r="A35" s="551">
        <v>5340</v>
      </c>
      <c r="B35" s="540" t="s">
        <v>54</v>
      </c>
      <c r="C35" s="544">
        <v>459</v>
      </c>
      <c r="D35" s="544">
        <v>0</v>
      </c>
      <c r="E35" s="544"/>
      <c r="H35" s="543">
        <f t="shared" si="6"/>
        <v>11000</v>
      </c>
      <c r="I35" s="569">
        <f t="shared" si="3"/>
        <v>13000</v>
      </c>
      <c r="J35" s="539">
        <f t="shared" si="4"/>
        <v>2000</v>
      </c>
      <c r="K35" s="545">
        <f t="shared" si="5"/>
        <v>0.18179999999999999</v>
      </c>
      <c r="L35" s="538" t="s">
        <v>1585</v>
      </c>
      <c r="M35" s="539"/>
    </row>
    <row r="36" spans="1:13" x14ac:dyDescent="0.2">
      <c r="A36" s="551">
        <v>5344</v>
      </c>
      <c r="B36" s="540" t="s">
        <v>148</v>
      </c>
      <c r="C36" s="536">
        <v>2250.5300000000002</v>
      </c>
      <c r="D36" s="536">
        <v>2192.2199999999998</v>
      </c>
      <c r="E36" s="536"/>
      <c r="H36" s="543">
        <f t="shared" si="6"/>
        <v>3300</v>
      </c>
      <c r="I36" s="569">
        <f t="shared" si="3"/>
        <v>3900</v>
      </c>
      <c r="J36" s="539">
        <f t="shared" si="4"/>
        <v>600</v>
      </c>
      <c r="K36" s="545">
        <f t="shared" si="5"/>
        <v>0.18179999999999999</v>
      </c>
      <c r="L36" s="538" t="s">
        <v>1409</v>
      </c>
      <c r="M36" s="539"/>
    </row>
    <row r="37" spans="1:13" x14ac:dyDescent="0.2">
      <c r="A37" s="551">
        <v>5350</v>
      </c>
      <c r="B37" s="540" t="s">
        <v>868</v>
      </c>
      <c r="C37" s="544"/>
      <c r="D37" s="544"/>
      <c r="E37" s="544"/>
      <c r="H37" s="543">
        <f t="shared" si="6"/>
        <v>6309</v>
      </c>
      <c r="I37" s="569">
        <f t="shared" si="3"/>
        <v>6309</v>
      </c>
      <c r="J37" s="539">
        <f t="shared" si="4"/>
        <v>0</v>
      </c>
      <c r="K37" s="545" t="str">
        <f t="shared" si="5"/>
        <v/>
      </c>
      <c r="L37" s="538"/>
      <c r="M37" s="539"/>
    </row>
    <row r="38" spans="1:13" x14ac:dyDescent="0.2">
      <c r="A38" s="551">
        <v>5420</v>
      </c>
      <c r="B38" s="540" t="s">
        <v>690</v>
      </c>
      <c r="C38" s="544">
        <v>1590.17</v>
      </c>
      <c r="D38" s="544">
        <f>737+737</f>
        <v>1474</v>
      </c>
      <c r="E38" s="544"/>
      <c r="H38" s="543">
        <f t="shared" si="6"/>
        <v>1600</v>
      </c>
      <c r="I38" s="569">
        <f t="shared" si="3"/>
        <v>1600</v>
      </c>
      <c r="J38" s="539">
        <f t="shared" si="4"/>
        <v>0</v>
      </c>
      <c r="K38" s="545" t="str">
        <f t="shared" si="5"/>
        <v/>
      </c>
      <c r="L38" s="538"/>
      <c r="M38" s="539"/>
    </row>
    <row r="39" spans="1:13" x14ac:dyDescent="0.2">
      <c r="A39" s="551">
        <v>5580</v>
      </c>
      <c r="B39" s="540" t="s">
        <v>533</v>
      </c>
      <c r="C39" s="544">
        <v>175.91</v>
      </c>
      <c r="D39" s="544">
        <f>-737+765.3</f>
        <v>28.299999999999955</v>
      </c>
      <c r="E39" s="544"/>
      <c r="H39" s="543">
        <f t="shared" si="6"/>
        <v>250</v>
      </c>
      <c r="I39" s="569">
        <f t="shared" si="3"/>
        <v>250</v>
      </c>
      <c r="J39" s="539">
        <f t="shared" si="4"/>
        <v>0</v>
      </c>
      <c r="K39" s="545" t="str">
        <f t="shared" si="5"/>
        <v/>
      </c>
      <c r="L39" s="538"/>
      <c r="M39" s="539"/>
    </row>
    <row r="41" spans="1:13" x14ac:dyDescent="0.2">
      <c r="B41" s="4" t="s">
        <v>1600</v>
      </c>
      <c r="H41" s="849">
        <f>SUM(H29:H40)</f>
        <v>65659</v>
      </c>
      <c r="I41" s="849">
        <f>SUM(I29:I40)</f>
        <v>72759</v>
      </c>
      <c r="J41" s="208">
        <f t="shared" ref="J41" si="7">+I41-H41</f>
        <v>7100</v>
      </c>
      <c r="K41" s="850">
        <f t="shared" ref="K41" si="8">IF(H41+I41&lt;&gt;0,IF(H41&lt;&gt;0,IF(J41&lt;&gt;0,ROUND((+J41/H41),4),""),1),"")</f>
        <v>0.1081</v>
      </c>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0" orientation="landscape" r:id="rId1"/>
  <headerFooter alignWithMargins="0">
    <oddFooter xml:space="preserve">&amp;L&amp;D  &amp;T&amp;C&amp;F&amp;R&amp;A  </oddFooter>
  </headerFooter>
  <rowBreaks count="1" manualBreakCount="1">
    <brk id="25"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6"/>
  <sheetViews>
    <sheetView zoomScale="85" workbookViewId="0">
      <pane ySplit="7" topLeftCell="A45" activePane="bottomLeft" state="frozen"/>
      <selection activeCell="K15" sqref="K15"/>
      <selection pane="bottomLeft" activeCell="L54" sqref="L54"/>
    </sheetView>
  </sheetViews>
  <sheetFormatPr defaultRowHeight="12.75" x14ac:dyDescent="0.2"/>
  <cols>
    <col min="1" max="1" width="12" customWidth="1"/>
    <col min="2" max="2" width="36.6640625" customWidth="1"/>
    <col min="3" max="3" width="14.5" style="1" hidden="1" customWidth="1"/>
    <col min="4" max="7" width="14.5" style="121" hidden="1" customWidth="1"/>
    <col min="8" max="10" width="14.5" style="121" customWidth="1"/>
    <col min="11" max="11" width="14.5" customWidth="1"/>
    <col min="12" max="14" width="14.5" style="1" customWidth="1"/>
    <col min="15" max="17" width="14.5" customWidth="1"/>
    <col min="18" max="18" width="14.6640625" style="2" customWidth="1"/>
  </cols>
  <sheetData>
    <row r="1" spans="1:17" x14ac:dyDescent="0.2">
      <c r="A1" s="410" t="s">
        <v>1013</v>
      </c>
      <c r="B1" s="410" t="s">
        <v>1418</v>
      </c>
      <c r="N1"/>
    </row>
    <row r="2" spans="1:17" ht="15" x14ac:dyDescent="0.25">
      <c r="A2" s="49" t="s">
        <v>254</v>
      </c>
      <c r="B2" s="49"/>
      <c r="H2" s="153" t="s">
        <v>252</v>
      </c>
      <c r="I2" s="153"/>
      <c r="J2" s="153"/>
      <c r="K2" s="67" t="s">
        <v>283</v>
      </c>
      <c r="M2" s="50" t="s">
        <v>476</v>
      </c>
    </row>
    <row r="3" spans="1:17" ht="13.5" thickBot="1" x14ac:dyDescent="0.25">
      <c r="A3" s="4"/>
      <c r="B3" s="4"/>
      <c r="C3" s="25"/>
      <c r="D3" s="25"/>
      <c r="E3" s="25"/>
      <c r="F3" s="25"/>
      <c r="G3" s="25"/>
      <c r="H3" s="25"/>
      <c r="I3" s="25"/>
      <c r="J3" s="25"/>
      <c r="K3" s="4"/>
      <c r="L3" s="25"/>
      <c r="M3" s="4"/>
      <c r="N3" s="4"/>
      <c r="Q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318"/>
      <c r="J5" s="318"/>
      <c r="K5" s="120" t="s">
        <v>509</v>
      </c>
      <c r="L5" s="95" t="s">
        <v>7</v>
      </c>
      <c r="M5" s="209" t="s">
        <v>783</v>
      </c>
    </row>
    <row r="6" spans="1:17" x14ac:dyDescent="0.2">
      <c r="A6" s="93"/>
      <c r="B6" s="216"/>
      <c r="C6" s="137"/>
      <c r="D6" s="137"/>
      <c r="E6" s="137"/>
      <c r="F6" s="137"/>
      <c r="G6" s="137"/>
      <c r="H6" s="137"/>
      <c r="I6" s="95"/>
      <c r="J6" s="95"/>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7" ht="13.5" thickTop="1" x14ac:dyDescent="0.2">
      <c r="A8" s="30"/>
      <c r="B8" s="218"/>
      <c r="C8" s="142"/>
      <c r="D8" s="19"/>
      <c r="E8" s="19"/>
      <c r="F8" s="19"/>
      <c r="G8" s="19"/>
      <c r="H8" s="19"/>
      <c r="I8" s="20"/>
      <c r="J8" s="20"/>
      <c r="K8" s="19"/>
      <c r="L8" s="20"/>
      <c r="M8" s="20"/>
    </row>
    <row r="9" spans="1:17" x14ac:dyDescent="0.2">
      <c r="A9" s="12">
        <v>5111</v>
      </c>
      <c r="B9" s="69" t="s">
        <v>684</v>
      </c>
      <c r="C9" s="140">
        <v>92859.54</v>
      </c>
      <c r="D9" s="14">
        <v>97657.39</v>
      </c>
      <c r="E9" s="14">
        <v>100549.35</v>
      </c>
      <c r="F9" s="14">
        <v>104069.72</v>
      </c>
      <c r="G9" s="14">
        <v>106930.4</v>
      </c>
      <c r="H9" s="14">
        <v>110663.2</v>
      </c>
      <c r="I9" s="14">
        <v>118676.41</v>
      </c>
      <c r="J9" s="15">
        <f>1470+2517+114854</f>
        <v>118841</v>
      </c>
      <c r="K9" s="14">
        <v>55727</v>
      </c>
      <c r="L9" s="15">
        <f>ROUND((+K48),0)</f>
        <v>120391</v>
      </c>
      <c r="M9" s="15"/>
    </row>
    <row r="10" spans="1:17" x14ac:dyDescent="0.2">
      <c r="A10" s="12">
        <v>5113</v>
      </c>
      <c r="B10" s="69" t="s">
        <v>98</v>
      </c>
      <c r="C10" s="140">
        <v>338</v>
      </c>
      <c r="D10" s="14">
        <v>500</v>
      </c>
      <c r="E10" s="14">
        <v>500</v>
      </c>
      <c r="F10" s="14">
        <v>500</v>
      </c>
      <c r="G10" s="14">
        <v>500</v>
      </c>
      <c r="H10" s="14">
        <v>500</v>
      </c>
      <c r="I10" s="14">
        <v>500</v>
      </c>
      <c r="J10" s="15">
        <v>525</v>
      </c>
      <c r="K10" s="14">
        <v>262.5</v>
      </c>
      <c r="L10" s="15">
        <v>525</v>
      </c>
      <c r="M10" s="15"/>
    </row>
    <row r="11" spans="1:17" x14ac:dyDescent="0.2">
      <c r="A11" s="12"/>
      <c r="B11" s="69" t="s">
        <v>99</v>
      </c>
      <c r="C11" s="140">
        <v>338</v>
      </c>
      <c r="D11" s="14">
        <v>500</v>
      </c>
      <c r="E11" s="14">
        <v>500</v>
      </c>
      <c r="F11" s="14">
        <v>500</v>
      </c>
      <c r="G11" s="14">
        <v>500</v>
      </c>
      <c r="H11" s="14">
        <v>500</v>
      </c>
      <c r="I11" s="14">
        <v>500</v>
      </c>
      <c r="J11" s="15">
        <v>525</v>
      </c>
      <c r="K11" s="14">
        <v>262.5</v>
      </c>
      <c r="L11" s="15">
        <v>525</v>
      </c>
      <c r="M11" s="15"/>
      <c r="Q11" s="101"/>
    </row>
    <row r="12" spans="1:17" x14ac:dyDescent="0.2">
      <c r="A12" s="12"/>
      <c r="B12" s="69" t="s">
        <v>100</v>
      </c>
      <c r="C12" s="140">
        <v>338</v>
      </c>
      <c r="D12" s="14">
        <v>500</v>
      </c>
      <c r="E12" s="14">
        <v>500</v>
      </c>
      <c r="F12" s="14">
        <v>500</v>
      </c>
      <c r="G12" s="14">
        <v>500</v>
      </c>
      <c r="H12" s="14">
        <v>500</v>
      </c>
      <c r="I12" s="14">
        <v>500</v>
      </c>
      <c r="J12" s="15">
        <v>525</v>
      </c>
      <c r="K12" s="14">
        <v>262.5</v>
      </c>
      <c r="L12" s="15">
        <v>525</v>
      </c>
      <c r="M12" s="15"/>
      <c r="Q12" s="101"/>
    </row>
    <row r="13" spans="1:17" x14ac:dyDescent="0.2">
      <c r="A13" s="12">
        <v>5124</v>
      </c>
      <c r="B13" s="69" t="s">
        <v>56</v>
      </c>
      <c r="C13" s="140">
        <v>23326</v>
      </c>
      <c r="D13" s="14">
        <v>3758</v>
      </c>
      <c r="E13" s="14">
        <v>17514.5</v>
      </c>
      <c r="F13" s="14">
        <v>14613</v>
      </c>
      <c r="G13" s="14">
        <v>18440.5</v>
      </c>
      <c r="H13" s="14">
        <v>6230.5</v>
      </c>
      <c r="I13" s="14">
        <v>19458.5</v>
      </c>
      <c r="J13" s="15">
        <v>20000</v>
      </c>
      <c r="K13" s="14">
        <v>175</v>
      </c>
      <c r="L13" s="15">
        <v>23000</v>
      </c>
      <c r="M13" s="15"/>
      <c r="N13" s="750"/>
      <c r="Q13" s="231"/>
    </row>
    <row r="14" spans="1:17" ht="13.5" thickBot="1" x14ac:dyDescent="0.25">
      <c r="A14" s="12">
        <v>5144</v>
      </c>
      <c r="B14" s="69" t="s">
        <v>152</v>
      </c>
      <c r="C14" s="141">
        <v>150</v>
      </c>
      <c r="D14" s="16">
        <v>150</v>
      </c>
      <c r="E14" s="16">
        <v>150</v>
      </c>
      <c r="F14" s="16">
        <v>200</v>
      </c>
      <c r="G14" s="14">
        <v>800</v>
      </c>
      <c r="H14" s="14">
        <v>800</v>
      </c>
      <c r="I14" s="14">
        <v>800</v>
      </c>
      <c r="J14" s="15">
        <v>300</v>
      </c>
      <c r="K14" s="14">
        <v>300</v>
      </c>
      <c r="L14" s="15">
        <f>+N48</f>
        <v>300</v>
      </c>
      <c r="M14" s="15"/>
      <c r="Q14" s="231"/>
    </row>
    <row r="15" spans="1:17" x14ac:dyDescent="0.2">
      <c r="A15" s="12">
        <v>55193</v>
      </c>
      <c r="B15" s="69" t="s">
        <v>1213</v>
      </c>
      <c r="C15" s="811"/>
      <c r="D15" s="32"/>
      <c r="E15" s="32"/>
      <c r="F15" s="32"/>
      <c r="G15" s="14"/>
      <c r="H15" s="14"/>
      <c r="I15" s="14">
        <v>3522.22</v>
      </c>
      <c r="J15" s="15"/>
      <c r="K15" s="14"/>
      <c r="L15" s="15"/>
      <c r="M15" s="15"/>
      <c r="Q15" s="231"/>
    </row>
    <row r="16" spans="1:17" ht="13.5" thickBot="1" x14ac:dyDescent="0.25">
      <c r="A16" s="12">
        <v>5194</v>
      </c>
      <c r="B16" s="69" t="s">
        <v>1212</v>
      </c>
      <c r="C16" s="811"/>
      <c r="D16" s="32"/>
      <c r="E16" s="32"/>
      <c r="F16" s="32"/>
      <c r="G16" s="16"/>
      <c r="H16" s="16"/>
      <c r="I16" s="16">
        <v>388.85</v>
      </c>
      <c r="J16" s="17"/>
      <c r="K16" s="16"/>
      <c r="L16" s="17"/>
      <c r="M16" s="17"/>
      <c r="Q16" s="231"/>
    </row>
    <row r="17" spans="1:17" x14ac:dyDescent="0.2">
      <c r="A17" s="12"/>
      <c r="B17" s="70" t="s">
        <v>125</v>
      </c>
      <c r="C17" s="142">
        <f t="shared" ref="C17:D17" si="0">SUM(C9:C14)</f>
        <v>117349.54</v>
      </c>
      <c r="D17" s="19">
        <f t="shared" si="0"/>
        <v>103065.39</v>
      </c>
      <c r="E17" s="19">
        <f>SUM(E9:E14)</f>
        <v>119713.85</v>
      </c>
      <c r="F17" s="19">
        <f>SUM(F9:F14)</f>
        <v>120382.72</v>
      </c>
      <c r="G17" s="19">
        <f t="shared" ref="G17:H17" si="1">SUM(G9:G16)</f>
        <v>127670.9</v>
      </c>
      <c r="H17" s="19">
        <f t="shared" si="1"/>
        <v>119193.7</v>
      </c>
      <c r="I17" s="19">
        <f>SUM(I9:I16)</f>
        <v>144345.98000000001</v>
      </c>
      <c r="J17" s="20">
        <f>SUM(J9:J16)</f>
        <v>140716</v>
      </c>
      <c r="K17" s="19">
        <f>SUM(K9:K16)</f>
        <v>56989.5</v>
      </c>
      <c r="L17" s="20">
        <f>SUM(L9:L16)</f>
        <v>145266</v>
      </c>
      <c r="M17" s="20">
        <f>SUM(M9:M14)</f>
        <v>0</v>
      </c>
      <c r="Q17" s="101"/>
    </row>
    <row r="18" spans="1:17" x14ac:dyDescent="0.2">
      <c r="A18" s="12"/>
      <c r="B18" s="69"/>
      <c r="C18" s="142"/>
      <c r="D18" s="19"/>
      <c r="E18" s="19"/>
      <c r="F18" s="19"/>
      <c r="G18" s="19"/>
      <c r="H18" s="19"/>
      <c r="I18" s="19"/>
      <c r="J18" s="20"/>
      <c r="K18" s="19"/>
      <c r="L18" s="20"/>
      <c r="M18" s="20"/>
      <c r="Q18" s="101"/>
    </row>
    <row r="19" spans="1:17" x14ac:dyDescent="0.2">
      <c r="A19" s="12">
        <v>5247</v>
      </c>
      <c r="B19" s="13" t="s">
        <v>1028</v>
      </c>
      <c r="C19" s="14"/>
      <c r="D19" s="14">
        <v>0</v>
      </c>
      <c r="E19" s="14"/>
      <c r="F19" s="14"/>
      <c r="G19" s="14">
        <v>890</v>
      </c>
      <c r="H19" s="14">
        <v>3667.54</v>
      </c>
      <c r="I19" s="14">
        <v>3496.2</v>
      </c>
      <c r="J19" s="15">
        <v>3722</v>
      </c>
      <c r="K19" s="14"/>
      <c r="L19" s="15">
        <v>3750</v>
      </c>
      <c r="M19" s="15"/>
      <c r="Q19" s="101"/>
    </row>
    <row r="20" spans="1:17" x14ac:dyDescent="0.2">
      <c r="A20" s="12">
        <v>5248</v>
      </c>
      <c r="B20" s="13" t="s">
        <v>133</v>
      </c>
      <c r="C20" s="14">
        <v>800</v>
      </c>
      <c r="D20" s="14">
        <v>0</v>
      </c>
      <c r="E20" s="14"/>
      <c r="F20" s="14"/>
      <c r="G20" s="14"/>
      <c r="H20" s="14"/>
      <c r="I20" s="14">
        <v>657.99</v>
      </c>
      <c r="J20" s="15">
        <v>1000</v>
      </c>
      <c r="K20" s="14"/>
      <c r="L20" s="15">
        <v>500</v>
      </c>
      <c r="M20" s="15"/>
      <c r="N20" s="750"/>
      <c r="Q20" s="101"/>
    </row>
    <row r="21" spans="1:17" x14ac:dyDescent="0.2">
      <c r="A21" s="12">
        <v>5279</v>
      </c>
      <c r="B21" s="13" t="s">
        <v>126</v>
      </c>
      <c r="C21" s="14">
        <v>950</v>
      </c>
      <c r="D21" s="14">
        <v>175</v>
      </c>
      <c r="E21" s="14">
        <v>825</v>
      </c>
      <c r="F21" s="14">
        <v>600</v>
      </c>
      <c r="G21" s="14">
        <v>650</v>
      </c>
      <c r="H21" s="14">
        <v>212.07</v>
      </c>
      <c r="I21" s="14">
        <v>922.36</v>
      </c>
      <c r="J21" s="15">
        <v>550</v>
      </c>
      <c r="K21" s="14"/>
      <c r="L21" s="15"/>
      <c r="M21" s="15"/>
      <c r="Q21" s="101"/>
    </row>
    <row r="22" spans="1:17" x14ac:dyDescent="0.2">
      <c r="A22" s="12">
        <v>5305</v>
      </c>
      <c r="B22" s="13" t="s">
        <v>143</v>
      </c>
      <c r="C22" s="14">
        <f>2221.2+3364.97</f>
        <v>5586.17</v>
      </c>
      <c r="D22" s="14">
        <v>4208.42</v>
      </c>
      <c r="E22" s="14">
        <v>4524.41</v>
      </c>
      <c r="F22" s="14">
        <v>4085.91</v>
      </c>
      <c r="G22" s="14">
        <v>3225.89</v>
      </c>
      <c r="H22" s="14">
        <v>3531.52</v>
      </c>
      <c r="I22" s="14">
        <v>3715.75</v>
      </c>
      <c r="J22" s="15">
        <v>3500</v>
      </c>
      <c r="K22" s="14"/>
      <c r="L22" s="15">
        <v>4500</v>
      </c>
      <c r="M22" s="15"/>
      <c r="Q22" s="231"/>
    </row>
    <row r="23" spans="1:17" x14ac:dyDescent="0.2">
      <c r="A23" s="12">
        <v>5314</v>
      </c>
      <c r="B23" s="13" t="s">
        <v>134</v>
      </c>
      <c r="C23" s="14"/>
      <c r="D23" s="14">
        <v>88</v>
      </c>
      <c r="E23" s="14">
        <v>276</v>
      </c>
      <c r="F23" s="14">
        <v>341</v>
      </c>
      <c r="G23" s="14">
        <v>256</v>
      </c>
      <c r="H23" s="14">
        <v>582.32000000000005</v>
      </c>
      <c r="I23" s="14">
        <v>200</v>
      </c>
      <c r="J23" s="15">
        <v>300</v>
      </c>
      <c r="K23" s="14">
        <v>100</v>
      </c>
      <c r="L23" s="15">
        <v>300</v>
      </c>
      <c r="M23" s="15"/>
      <c r="N23" s="235"/>
      <c r="Q23" s="101"/>
    </row>
    <row r="24" spans="1:17" x14ac:dyDescent="0.2">
      <c r="A24" s="12">
        <v>5315</v>
      </c>
      <c r="B24" s="13" t="s">
        <v>135</v>
      </c>
      <c r="C24" s="14"/>
      <c r="D24" s="14"/>
      <c r="E24" s="14">
        <v>2582.5700000000002</v>
      </c>
      <c r="F24" s="14">
        <v>2358.5</v>
      </c>
      <c r="G24" s="14">
        <v>1875.43</v>
      </c>
      <c r="H24" s="14">
        <v>1817.42</v>
      </c>
      <c r="I24" s="14">
        <v>2373.12</v>
      </c>
      <c r="J24" s="15">
        <v>2100</v>
      </c>
      <c r="K24" s="14">
        <v>132</v>
      </c>
      <c r="L24" s="15">
        <v>2400</v>
      </c>
      <c r="M24" s="15"/>
      <c r="Q24" s="231"/>
    </row>
    <row r="25" spans="1:17" hidden="1" x14ac:dyDescent="0.2">
      <c r="A25" s="12">
        <v>5341</v>
      </c>
      <c r="B25" s="13" t="s">
        <v>136</v>
      </c>
      <c r="C25" s="14">
        <v>244.76</v>
      </c>
      <c r="D25" s="14">
        <v>223.51</v>
      </c>
      <c r="E25" s="14">
        <v>227.83</v>
      </c>
      <c r="F25" s="14">
        <v>246.23</v>
      </c>
      <c r="G25" s="14">
        <v>325.16000000000003</v>
      </c>
      <c r="I25" s="14"/>
      <c r="J25" s="15"/>
      <c r="K25" s="14"/>
      <c r="L25" s="15"/>
      <c r="M25" s="15"/>
      <c r="Q25" s="101"/>
    </row>
    <row r="26" spans="1:17" x14ac:dyDescent="0.2">
      <c r="A26" s="12">
        <v>5344</v>
      </c>
      <c r="B26" s="13" t="s">
        <v>137</v>
      </c>
      <c r="C26" s="14">
        <v>3108.8</v>
      </c>
      <c r="D26" s="14">
        <v>1606.46</v>
      </c>
      <c r="E26" s="14">
        <v>2988.74</v>
      </c>
      <c r="F26" s="14">
        <v>3219.39</v>
      </c>
      <c r="G26" s="14">
        <v>2824.51</v>
      </c>
      <c r="H26" s="14">
        <v>3002.61</v>
      </c>
      <c r="I26" s="14">
        <v>3452.15</v>
      </c>
      <c r="J26" s="15">
        <v>3500</v>
      </c>
      <c r="K26" s="14">
        <v>1622.99</v>
      </c>
      <c r="L26" s="15">
        <v>3850</v>
      </c>
      <c r="M26" s="15"/>
      <c r="Q26" s="101"/>
    </row>
    <row r="27" spans="1:17" x14ac:dyDescent="0.2">
      <c r="A27" s="12">
        <v>5345</v>
      </c>
      <c r="B27" s="13" t="s">
        <v>138</v>
      </c>
      <c r="C27" s="19"/>
      <c r="D27" s="19"/>
      <c r="E27" s="19"/>
      <c r="F27" s="19"/>
      <c r="G27" s="19"/>
      <c r="H27" s="14"/>
      <c r="I27" s="19">
        <v>70.209999999999994</v>
      </c>
      <c r="J27" s="20"/>
      <c r="K27" s="19"/>
      <c r="L27" s="20">
        <v>500</v>
      </c>
      <c r="M27" s="20"/>
      <c r="Q27" s="101"/>
    </row>
    <row r="28" spans="1:17" x14ac:dyDescent="0.2">
      <c r="A28" s="12">
        <v>5420</v>
      </c>
      <c r="B28" s="13" t="s">
        <v>139</v>
      </c>
      <c r="C28" s="19">
        <v>1490.81</v>
      </c>
      <c r="D28" s="19">
        <v>1184.98</v>
      </c>
      <c r="E28" s="19">
        <v>2381.5100000000002</v>
      </c>
      <c r="F28" s="19">
        <v>3387.13</v>
      </c>
      <c r="G28" s="19">
        <v>3273.56</v>
      </c>
      <c r="H28" s="14">
        <v>1478.84</v>
      </c>
      <c r="I28" s="19">
        <v>3927.07</v>
      </c>
      <c r="J28" s="20">
        <v>2500</v>
      </c>
      <c r="K28" s="19">
        <v>844.46</v>
      </c>
      <c r="L28" s="20">
        <v>4000</v>
      </c>
      <c r="M28" s="20"/>
    </row>
    <row r="29" spans="1:17" x14ac:dyDescent="0.2">
      <c r="A29" s="12">
        <v>5581</v>
      </c>
      <c r="B29" s="13" t="s">
        <v>141</v>
      </c>
      <c r="C29" s="19"/>
      <c r="D29" s="19">
        <v>88.4</v>
      </c>
      <c r="E29" s="19">
        <v>113.4</v>
      </c>
      <c r="F29" s="19">
        <v>25</v>
      </c>
      <c r="G29" s="19">
        <v>123.8</v>
      </c>
      <c r="H29" s="19">
        <v>131.6</v>
      </c>
      <c r="I29" s="19">
        <v>136.6</v>
      </c>
      <c r="J29" s="20">
        <v>125</v>
      </c>
      <c r="K29" s="19"/>
      <c r="L29" s="20">
        <v>125</v>
      </c>
      <c r="M29" s="20"/>
    </row>
    <row r="30" spans="1:17" hidden="1" x14ac:dyDescent="0.2">
      <c r="A30" s="12">
        <v>5599</v>
      </c>
      <c r="B30" s="13" t="s">
        <v>798</v>
      </c>
      <c r="C30" s="19"/>
      <c r="D30" s="19">
        <v>1700</v>
      </c>
      <c r="E30" s="19"/>
      <c r="F30" s="19"/>
      <c r="G30" s="19"/>
      <c r="H30" s="19"/>
      <c r="I30" s="19"/>
      <c r="J30" s="20"/>
      <c r="K30" s="19"/>
      <c r="L30" s="20"/>
      <c r="M30" s="20"/>
    </row>
    <row r="31" spans="1:17" x14ac:dyDescent="0.2">
      <c r="A31" s="12">
        <v>5710</v>
      </c>
      <c r="B31" s="13" t="s">
        <v>529</v>
      </c>
      <c r="C31" s="19">
        <v>663.46</v>
      </c>
      <c r="D31" s="19">
        <v>859.2</v>
      </c>
      <c r="E31" s="19">
        <v>719.34</v>
      </c>
      <c r="F31" s="19">
        <v>370.39</v>
      </c>
      <c r="G31" s="19">
        <v>855.51</v>
      </c>
      <c r="H31" s="19">
        <v>871.44</v>
      </c>
      <c r="I31" s="19">
        <v>1191.17</v>
      </c>
      <c r="J31" s="20">
        <v>900</v>
      </c>
      <c r="K31" s="19">
        <v>319.54000000000002</v>
      </c>
      <c r="L31" s="20">
        <v>1500</v>
      </c>
      <c r="M31" s="20"/>
    </row>
    <row r="32" spans="1:17" x14ac:dyDescent="0.2">
      <c r="A32" s="12">
        <v>5730</v>
      </c>
      <c r="B32" s="13" t="s">
        <v>142</v>
      </c>
      <c r="C32" s="14">
        <v>110</v>
      </c>
      <c r="D32" s="14">
        <v>110</v>
      </c>
      <c r="E32" s="14">
        <v>85</v>
      </c>
      <c r="F32" s="14">
        <v>100</v>
      </c>
      <c r="G32" s="14">
        <v>75</v>
      </c>
      <c r="H32" s="14">
        <v>85</v>
      </c>
      <c r="I32" s="14">
        <v>110</v>
      </c>
      <c r="J32" s="15">
        <v>110</v>
      </c>
      <c r="K32" s="14">
        <v>100</v>
      </c>
      <c r="L32" s="15">
        <v>110</v>
      </c>
      <c r="M32" s="15"/>
    </row>
    <row r="33" spans="1:17" ht="13.5" thickBot="1" x14ac:dyDescent="0.25">
      <c r="A33" s="12">
        <v>5740</v>
      </c>
      <c r="B33" s="13" t="s">
        <v>149</v>
      </c>
      <c r="C33" s="16">
        <v>200</v>
      </c>
      <c r="D33" s="16">
        <v>200</v>
      </c>
      <c r="E33" s="16">
        <v>200</v>
      </c>
      <c r="F33" s="16">
        <v>200</v>
      </c>
      <c r="G33" s="16">
        <v>200</v>
      </c>
      <c r="H33" s="16">
        <v>200</v>
      </c>
      <c r="I33" s="16">
        <v>200</v>
      </c>
      <c r="J33" s="17">
        <v>200</v>
      </c>
      <c r="K33" s="16">
        <v>200</v>
      </c>
      <c r="L33" s="17">
        <v>200</v>
      </c>
      <c r="M33" s="17"/>
    </row>
    <row r="34" spans="1:17" x14ac:dyDescent="0.2">
      <c r="A34" s="12"/>
      <c r="B34" s="18" t="s">
        <v>442</v>
      </c>
      <c r="C34" s="39">
        <f t="shared" ref="C34:K34" si="2">SUM(C19:C33)</f>
        <v>13154</v>
      </c>
      <c r="D34" s="39">
        <f t="shared" si="2"/>
        <v>10443.970000000001</v>
      </c>
      <c r="E34" s="39">
        <f t="shared" si="2"/>
        <v>14923.8</v>
      </c>
      <c r="F34" s="39">
        <f>SUM(F19:F33)</f>
        <v>14933.55</v>
      </c>
      <c r="G34" s="39">
        <f>SUM(G19:G33)</f>
        <v>14574.859999999999</v>
      </c>
      <c r="H34" s="39">
        <f>SUM(H19:H33)</f>
        <v>15580.36</v>
      </c>
      <c r="I34" s="39">
        <f t="shared" si="2"/>
        <v>20452.619999999995</v>
      </c>
      <c r="J34" s="40">
        <f>SUM(J19:J33)</f>
        <v>18507</v>
      </c>
      <c r="K34" s="39">
        <f t="shared" si="2"/>
        <v>3318.99</v>
      </c>
      <c r="L34" s="40">
        <f>SUM(L19:L33)</f>
        <v>21735</v>
      </c>
      <c r="M34" s="40">
        <f>SUM(M19:M33)</f>
        <v>0</v>
      </c>
    </row>
    <row r="35" spans="1:17" ht="12.75" customHeight="1" x14ac:dyDescent="0.2">
      <c r="A35" s="12"/>
      <c r="B35" s="13"/>
      <c r="C35" s="14"/>
      <c r="D35" s="14"/>
      <c r="E35" s="14"/>
      <c r="F35" s="14"/>
      <c r="G35" s="14"/>
      <c r="H35" s="14"/>
      <c r="I35" s="14"/>
      <c r="J35" s="15"/>
      <c r="K35" s="14"/>
      <c r="L35" s="15"/>
      <c r="M35" s="15"/>
    </row>
    <row r="36" spans="1:17" ht="13.5" thickBot="1" x14ac:dyDescent="0.25">
      <c r="A36" s="21"/>
      <c r="B36" s="22" t="s">
        <v>284</v>
      </c>
      <c r="C36" s="23">
        <f t="shared" ref="C36:K36" si="3">+C34+C17</f>
        <v>130503.54</v>
      </c>
      <c r="D36" s="23">
        <f t="shared" si="3"/>
        <v>113509.36</v>
      </c>
      <c r="E36" s="23">
        <f t="shared" si="3"/>
        <v>134637.65</v>
      </c>
      <c r="F36" s="23">
        <f>+F34+F17</f>
        <v>135316.26999999999</v>
      </c>
      <c r="G36" s="23">
        <f>+G34+G17</f>
        <v>142245.75999999998</v>
      </c>
      <c r="H36" s="23">
        <f>+H34+H17</f>
        <v>134774.06</v>
      </c>
      <c r="I36" s="23">
        <f t="shared" si="3"/>
        <v>164798.6</v>
      </c>
      <c r="J36" s="24">
        <f>+J34+J17</f>
        <v>159223</v>
      </c>
      <c r="K36" s="23">
        <f t="shared" si="3"/>
        <v>60308.49</v>
      </c>
      <c r="L36" s="24">
        <f>+L34+L17</f>
        <v>167001</v>
      </c>
      <c r="M36" s="24">
        <f>+L36</f>
        <v>167001</v>
      </c>
    </row>
    <row r="37" spans="1:17" ht="12.75" customHeight="1" thickTop="1" x14ac:dyDescent="0.25">
      <c r="A37" s="4"/>
      <c r="B37" s="4"/>
      <c r="C37" s="25"/>
      <c r="D37" s="25"/>
      <c r="E37" s="25"/>
      <c r="F37" s="25"/>
      <c r="G37" s="25"/>
      <c r="H37" s="25"/>
      <c r="I37" s="25"/>
      <c r="J37" s="25"/>
      <c r="K37" s="29"/>
      <c r="L37" s="25"/>
      <c r="M37" s="84"/>
      <c r="N37" s="25"/>
      <c r="O37" s="29"/>
      <c r="P37" s="214"/>
      <c r="Q37" s="29"/>
    </row>
    <row r="38" spans="1:17" ht="12.75" customHeight="1" x14ac:dyDescent="0.3">
      <c r="A38" s="4"/>
      <c r="B38" s="505"/>
      <c r="C38" s="356"/>
      <c r="D38" s="356"/>
      <c r="E38" s="356"/>
      <c r="F38" s="112"/>
      <c r="G38" s="112"/>
      <c r="H38" s="112"/>
      <c r="I38" s="25"/>
      <c r="J38" s="25"/>
      <c r="K38" s="29"/>
      <c r="L38" s="25"/>
      <c r="M38" s="84"/>
      <c r="N38" s="29"/>
      <c r="O38" s="29"/>
      <c r="P38" s="29"/>
      <c r="Q38" s="29"/>
    </row>
    <row r="39" spans="1:17" x14ac:dyDescent="0.2">
      <c r="A39" s="4" t="s">
        <v>521</v>
      </c>
      <c r="B39" s="4"/>
    </row>
    <row r="40" spans="1:17" ht="13.5" thickBot="1" x14ac:dyDescent="0.25">
      <c r="A40" s="4"/>
      <c r="B40" s="4"/>
    </row>
    <row r="41" spans="1:17" ht="13.5" thickTop="1" x14ac:dyDescent="0.2">
      <c r="A41" s="162" t="s">
        <v>883</v>
      </c>
      <c r="B41" s="114"/>
      <c r="H41" s="346" t="s">
        <v>84</v>
      </c>
      <c r="I41" s="169" t="s">
        <v>33</v>
      </c>
      <c r="J41" s="182"/>
      <c r="K41" s="171" t="s">
        <v>578</v>
      </c>
      <c r="L41"/>
      <c r="M41" s="220" t="s">
        <v>336</v>
      </c>
      <c r="N41"/>
    </row>
    <row r="42" spans="1:17" ht="13.5" thickBot="1" x14ac:dyDescent="0.25">
      <c r="A42" s="392" t="s">
        <v>884</v>
      </c>
      <c r="B42" s="116" t="s">
        <v>522</v>
      </c>
      <c r="H42" s="172" t="s">
        <v>577</v>
      </c>
      <c r="I42" s="172" t="s">
        <v>575</v>
      </c>
      <c r="J42" s="173" t="s">
        <v>34</v>
      </c>
      <c r="K42" s="173" t="s">
        <v>101</v>
      </c>
      <c r="L42" s="246" t="s">
        <v>335</v>
      </c>
      <c r="M42" s="246" t="s">
        <v>900</v>
      </c>
      <c r="N42" s="246" t="s">
        <v>337</v>
      </c>
    </row>
    <row r="43" spans="1:17" ht="13.5" thickTop="1" x14ac:dyDescent="0.2">
      <c r="A43" s="164">
        <v>35793</v>
      </c>
      <c r="B43" s="117" t="s">
        <v>378</v>
      </c>
      <c r="H43" s="19" t="s">
        <v>1331</v>
      </c>
      <c r="I43" s="213"/>
      <c r="J43" s="183"/>
      <c r="K43" s="168">
        <f>+'NAGE &amp; Non-Union Wages'!L10</f>
        <v>75014</v>
      </c>
      <c r="L43"/>
      <c r="M43"/>
      <c r="N43" s="2"/>
    </row>
    <row r="44" spans="1:17" x14ac:dyDescent="0.2">
      <c r="A44" s="164"/>
      <c r="B44" s="117" t="s">
        <v>46</v>
      </c>
      <c r="H44" s="341"/>
      <c r="I44" s="213"/>
      <c r="J44" s="183"/>
      <c r="K44" s="168">
        <v>840</v>
      </c>
      <c r="L44"/>
      <c r="M44"/>
      <c r="N44" s="2"/>
    </row>
    <row r="45" spans="1:17" x14ac:dyDescent="0.2">
      <c r="A45" s="164"/>
      <c r="B45" s="117" t="s">
        <v>755</v>
      </c>
      <c r="H45" s="341"/>
      <c r="I45" s="213"/>
      <c r="J45" s="183"/>
      <c r="K45" s="168">
        <v>1000</v>
      </c>
      <c r="L45"/>
      <c r="M45"/>
      <c r="N45" s="2"/>
    </row>
    <row r="46" spans="1:17" x14ac:dyDescent="0.2">
      <c r="A46" s="165">
        <v>41981</v>
      </c>
      <c r="B46" s="69" t="s">
        <v>377</v>
      </c>
      <c r="H46" s="14" t="s">
        <v>1333</v>
      </c>
      <c r="I46" s="180">
        <f>+'NAGE &amp; Non-Union Wages'!L6</f>
        <v>23.81</v>
      </c>
      <c r="J46" s="19">
        <v>1828.5</v>
      </c>
      <c r="K46" s="168">
        <f>+ROUND((+I46*J46),2)</f>
        <v>43536.59</v>
      </c>
      <c r="L46" s="185">
        <v>41981</v>
      </c>
      <c r="M46">
        <v>6</v>
      </c>
      <c r="N46" s="2">
        <v>300</v>
      </c>
    </row>
    <row r="47" spans="1:17" x14ac:dyDescent="0.2">
      <c r="A47" s="165"/>
      <c r="B47" s="165">
        <v>43405</v>
      </c>
      <c r="H47" s="14"/>
      <c r="I47" s="69"/>
      <c r="J47" s="20"/>
      <c r="K47" s="168"/>
      <c r="L47"/>
      <c r="M47"/>
      <c r="N47" s="2"/>
    </row>
    <row r="48" spans="1:17" x14ac:dyDescent="0.2">
      <c r="A48" s="4"/>
      <c r="B48" s="4"/>
      <c r="C48" s="25"/>
      <c r="D48" s="25"/>
      <c r="E48" s="25"/>
      <c r="H48" s="25"/>
      <c r="I48" s="25"/>
      <c r="J48" s="25"/>
      <c r="K48" s="29">
        <f>SUM(K43:K47)</f>
        <v>120390.59</v>
      </c>
      <c r="L48" s="29"/>
      <c r="M48" s="29" t="s">
        <v>431</v>
      </c>
      <c r="N48" s="2">
        <f>SUM(N46:N47)</f>
        <v>300</v>
      </c>
    </row>
    <row r="49" spans="1:17" x14ac:dyDescent="0.2">
      <c r="A49" s="72"/>
      <c r="B49" s="4"/>
      <c r="C49" s="25"/>
      <c r="D49" s="25"/>
      <c r="E49" s="25"/>
      <c r="H49" s="25"/>
      <c r="I49" s="25"/>
      <c r="J49" s="29"/>
      <c r="K49" s="25"/>
      <c r="L49" s="25"/>
      <c r="M49" s="25"/>
      <c r="N49" s="29"/>
      <c r="P49" s="29"/>
      <c r="Q49" s="29"/>
    </row>
    <row r="50" spans="1:17" ht="13.5" thickBot="1" x14ac:dyDescent="0.25">
      <c r="A50" s="205"/>
      <c r="B50" s="4"/>
      <c r="C50" s="25"/>
      <c r="D50" s="25"/>
      <c r="E50" s="25"/>
      <c r="H50" s="25"/>
      <c r="I50" s="25"/>
      <c r="J50" s="25"/>
      <c r="K50" s="29"/>
      <c r="L50" s="25"/>
      <c r="M50" s="25"/>
      <c r="N50" s="25"/>
      <c r="O50" s="29"/>
      <c r="P50" s="29"/>
      <c r="Q50" s="29"/>
    </row>
    <row r="51" spans="1:17" ht="13.5" thickTop="1" x14ac:dyDescent="0.2">
      <c r="A51" s="517"/>
      <c r="B51" s="518"/>
      <c r="C51" s="519" t="s">
        <v>122</v>
      </c>
      <c r="D51" s="520" t="s">
        <v>122</v>
      </c>
      <c r="E51" s="520"/>
      <c r="H51" s="521" t="s">
        <v>542</v>
      </c>
      <c r="I51" s="522" t="s">
        <v>9</v>
      </c>
      <c r="J51" s="523" t="s">
        <v>1073</v>
      </c>
      <c r="K51" s="522" t="s">
        <v>682</v>
      </c>
      <c r="L51" s="524"/>
      <c r="M51" s="523"/>
      <c r="N51" s="25"/>
      <c r="O51" s="29"/>
      <c r="P51" s="29"/>
      <c r="Q51" s="29"/>
    </row>
    <row r="52" spans="1:17" ht="13.5" thickBot="1" x14ac:dyDescent="0.25">
      <c r="A52" s="525" t="s">
        <v>123</v>
      </c>
      <c r="B52" s="526"/>
      <c r="C52" s="527" t="s">
        <v>334</v>
      </c>
      <c r="D52" s="527" t="s">
        <v>718</v>
      </c>
      <c r="E52" s="527"/>
      <c r="H52" s="529" t="s">
        <v>899</v>
      </c>
      <c r="I52" s="529" t="s">
        <v>900</v>
      </c>
      <c r="J52" s="528" t="s">
        <v>1075</v>
      </c>
      <c r="K52" s="530" t="s">
        <v>1075</v>
      </c>
      <c r="L52" s="531" t="s">
        <v>1074</v>
      </c>
      <c r="M52" s="529"/>
      <c r="N52" s="25"/>
      <c r="O52" s="29"/>
      <c r="P52" s="29"/>
      <c r="Q52" s="29"/>
    </row>
    <row r="53" spans="1:17" ht="13.5" thickTop="1" x14ac:dyDescent="0.2">
      <c r="A53" s="548"/>
      <c r="B53" s="549"/>
      <c r="C53" s="536"/>
      <c r="D53" s="536"/>
      <c r="E53" s="536"/>
      <c r="H53" s="537"/>
      <c r="I53" s="536"/>
      <c r="J53" s="539"/>
      <c r="K53" s="545"/>
      <c r="L53" s="538"/>
      <c r="M53" s="539"/>
      <c r="N53" s="25"/>
      <c r="O53" s="29"/>
      <c r="P53" s="29"/>
      <c r="Q53" s="29"/>
    </row>
    <row r="54" spans="1:17" x14ac:dyDescent="0.2">
      <c r="A54" s="551">
        <v>5111</v>
      </c>
      <c r="B54" s="540" t="s">
        <v>684</v>
      </c>
      <c r="C54" s="544">
        <v>92859.54</v>
      </c>
      <c r="D54" s="544">
        <v>97657.39</v>
      </c>
      <c r="E54" s="544"/>
      <c r="H54" s="543">
        <f t="shared" ref="H54:H59" si="4">+J9</f>
        <v>118841</v>
      </c>
      <c r="I54" s="569">
        <f t="shared" ref="I54:I59" si="5">+L9</f>
        <v>120391</v>
      </c>
      <c r="J54" s="539">
        <f t="shared" ref="J54:J74" si="6">+I54-H54</f>
        <v>1550</v>
      </c>
      <c r="K54" s="545">
        <f t="shared" ref="K54:K74" si="7">IF(H54+I54&lt;&gt;0,IF(H54&lt;&gt;0,IF(J54&lt;&gt;0,ROUND((+J54/H54),4),""),1),"")</f>
        <v>1.2999999999999999E-2</v>
      </c>
      <c r="L54" s="538"/>
      <c r="M54" s="539"/>
      <c r="N54" s="25"/>
      <c r="O54" s="29"/>
      <c r="P54" s="29"/>
      <c r="Q54" s="29"/>
    </row>
    <row r="55" spans="1:17" x14ac:dyDescent="0.2">
      <c r="A55" s="551">
        <v>5113</v>
      </c>
      <c r="B55" s="540" t="s">
        <v>98</v>
      </c>
      <c r="C55" s="544">
        <v>338</v>
      </c>
      <c r="D55" s="544">
        <v>500</v>
      </c>
      <c r="E55" s="544"/>
      <c r="H55" s="543">
        <f t="shared" si="4"/>
        <v>525</v>
      </c>
      <c r="I55" s="569">
        <f t="shared" si="5"/>
        <v>525</v>
      </c>
      <c r="J55" s="539">
        <f t="shared" si="6"/>
        <v>0</v>
      </c>
      <c r="K55" s="545" t="str">
        <f t="shared" si="7"/>
        <v/>
      </c>
      <c r="L55" s="538"/>
      <c r="M55" s="539"/>
      <c r="N55" s="25"/>
      <c r="O55" s="29"/>
      <c r="P55" s="29"/>
      <c r="Q55" s="29"/>
    </row>
    <row r="56" spans="1:17" x14ac:dyDescent="0.2">
      <c r="A56" s="551"/>
      <c r="B56" s="540" t="s">
        <v>99</v>
      </c>
      <c r="C56" s="544">
        <v>338</v>
      </c>
      <c r="D56" s="544">
        <v>500</v>
      </c>
      <c r="E56" s="544"/>
      <c r="H56" s="543">
        <f t="shared" si="4"/>
        <v>525</v>
      </c>
      <c r="I56" s="569">
        <f t="shared" si="5"/>
        <v>525</v>
      </c>
      <c r="J56" s="539">
        <f t="shared" si="6"/>
        <v>0</v>
      </c>
      <c r="K56" s="545" t="str">
        <f t="shared" si="7"/>
        <v/>
      </c>
      <c r="L56" s="538"/>
      <c r="M56" s="539"/>
      <c r="N56" s="25"/>
      <c r="O56" s="29"/>
      <c r="P56" s="29"/>
      <c r="Q56" s="29"/>
    </row>
    <row r="57" spans="1:17" x14ac:dyDescent="0.2">
      <c r="A57" s="551"/>
      <c r="B57" s="540" t="s">
        <v>100</v>
      </c>
      <c r="C57" s="544">
        <v>338</v>
      </c>
      <c r="D57" s="544">
        <v>500</v>
      </c>
      <c r="E57" s="544"/>
      <c r="H57" s="543">
        <f t="shared" si="4"/>
        <v>525</v>
      </c>
      <c r="I57" s="569">
        <f t="shared" si="5"/>
        <v>525</v>
      </c>
      <c r="J57" s="539">
        <f t="shared" si="6"/>
        <v>0</v>
      </c>
      <c r="K57" s="545" t="str">
        <f t="shared" si="7"/>
        <v/>
      </c>
      <c r="L57" s="538"/>
      <c r="M57" s="539"/>
      <c r="N57" s="25"/>
      <c r="O57" s="29"/>
      <c r="P57" s="29"/>
      <c r="Q57" s="29"/>
    </row>
    <row r="58" spans="1:17" x14ac:dyDescent="0.2">
      <c r="A58" s="551">
        <v>5124</v>
      </c>
      <c r="B58" s="540" t="s">
        <v>56</v>
      </c>
      <c r="C58" s="544">
        <v>23326</v>
      </c>
      <c r="D58" s="544">
        <v>3758</v>
      </c>
      <c r="E58" s="544"/>
      <c r="H58" s="543">
        <f t="shared" si="4"/>
        <v>20000</v>
      </c>
      <c r="I58" s="569">
        <f t="shared" si="5"/>
        <v>23000</v>
      </c>
      <c r="J58" s="539">
        <f t="shared" si="6"/>
        <v>3000</v>
      </c>
      <c r="K58" s="545">
        <f t="shared" si="7"/>
        <v>0.15</v>
      </c>
      <c r="L58" s="538" t="s">
        <v>1548</v>
      </c>
      <c r="M58" s="539"/>
      <c r="N58" s="25"/>
      <c r="O58" s="29"/>
      <c r="P58" s="29"/>
      <c r="Q58" s="29"/>
    </row>
    <row r="59" spans="1:17" ht="13.5" thickBot="1" x14ac:dyDescent="0.25">
      <c r="A59" s="551">
        <v>5144</v>
      </c>
      <c r="B59" s="540" t="s">
        <v>152</v>
      </c>
      <c r="C59" s="542">
        <v>150</v>
      </c>
      <c r="D59" s="542">
        <v>150</v>
      </c>
      <c r="E59" s="546"/>
      <c r="H59" s="543">
        <f t="shared" si="4"/>
        <v>300</v>
      </c>
      <c r="I59" s="569">
        <f t="shared" si="5"/>
        <v>300</v>
      </c>
      <c r="J59" s="539">
        <f t="shared" si="6"/>
        <v>0</v>
      </c>
      <c r="K59" s="545" t="str">
        <f t="shared" si="7"/>
        <v/>
      </c>
      <c r="L59" s="538"/>
      <c r="M59" s="539"/>
      <c r="N59" s="25"/>
      <c r="O59" s="29"/>
      <c r="P59" s="29"/>
      <c r="Q59" s="29"/>
    </row>
    <row r="60" spans="1:17" x14ac:dyDescent="0.2">
      <c r="A60" s="551">
        <v>5247</v>
      </c>
      <c r="B60" s="540" t="s">
        <v>1028</v>
      </c>
      <c r="C60" s="544"/>
      <c r="D60" s="544">
        <v>0</v>
      </c>
      <c r="E60" s="536"/>
      <c r="H60" s="537">
        <f t="shared" ref="H60:H68" si="8">+J19</f>
        <v>3722</v>
      </c>
      <c r="I60" s="569">
        <f t="shared" ref="I60:I68" si="9">+L19</f>
        <v>3750</v>
      </c>
      <c r="J60" s="539">
        <f t="shared" si="6"/>
        <v>28</v>
      </c>
      <c r="K60" s="545">
        <f t="shared" si="7"/>
        <v>7.4999999999999997E-3</v>
      </c>
      <c r="L60" s="538" t="s">
        <v>1549</v>
      </c>
      <c r="M60" s="539"/>
      <c r="N60" s="25"/>
      <c r="O60" s="29"/>
      <c r="P60" s="29"/>
      <c r="Q60" s="29"/>
    </row>
    <row r="61" spans="1:17" x14ac:dyDescent="0.2">
      <c r="A61" s="551">
        <v>5248</v>
      </c>
      <c r="B61" s="540" t="s">
        <v>133</v>
      </c>
      <c r="C61" s="544">
        <v>800</v>
      </c>
      <c r="D61" s="544">
        <v>0</v>
      </c>
      <c r="E61" s="544"/>
      <c r="H61" s="537">
        <f t="shared" si="8"/>
        <v>1000</v>
      </c>
      <c r="I61" s="569">
        <f t="shared" si="9"/>
        <v>500</v>
      </c>
      <c r="J61" s="539">
        <f t="shared" si="6"/>
        <v>-500</v>
      </c>
      <c r="K61" s="545">
        <f t="shared" si="7"/>
        <v>-0.5</v>
      </c>
      <c r="L61" s="538" t="s">
        <v>1550</v>
      </c>
      <c r="M61" s="539"/>
      <c r="N61" s="25"/>
      <c r="O61" s="29"/>
      <c r="P61" s="29"/>
      <c r="Q61" s="29"/>
    </row>
    <row r="62" spans="1:17" x14ac:dyDescent="0.2">
      <c r="A62" s="551">
        <v>5279</v>
      </c>
      <c r="B62" s="540" t="s">
        <v>126</v>
      </c>
      <c r="C62" s="544">
        <v>950</v>
      </c>
      <c r="D62" s="544">
        <v>175</v>
      </c>
      <c r="E62" s="544"/>
      <c r="H62" s="537">
        <f t="shared" si="8"/>
        <v>550</v>
      </c>
      <c r="I62" s="569">
        <f t="shared" si="9"/>
        <v>0</v>
      </c>
      <c r="J62" s="539">
        <f t="shared" si="6"/>
        <v>-550</v>
      </c>
      <c r="K62" s="545">
        <f t="shared" si="7"/>
        <v>-1</v>
      </c>
      <c r="L62" s="538" t="s">
        <v>1551</v>
      </c>
      <c r="M62" s="539"/>
      <c r="N62" s="25"/>
      <c r="O62" s="29"/>
      <c r="P62" s="29"/>
      <c r="Q62" s="29"/>
    </row>
    <row r="63" spans="1:17" x14ac:dyDescent="0.2">
      <c r="A63" s="551">
        <v>5305</v>
      </c>
      <c r="B63" s="540" t="s">
        <v>143</v>
      </c>
      <c r="C63" s="544">
        <f>2221.2+3364.97</f>
        <v>5586.17</v>
      </c>
      <c r="D63" s="544">
        <v>4208.42</v>
      </c>
      <c r="E63" s="544"/>
      <c r="H63" s="537">
        <f t="shared" si="8"/>
        <v>3500</v>
      </c>
      <c r="I63" s="569">
        <f t="shared" si="9"/>
        <v>4500</v>
      </c>
      <c r="J63" s="539">
        <f t="shared" si="6"/>
        <v>1000</v>
      </c>
      <c r="K63" s="545">
        <f t="shared" si="7"/>
        <v>0.28570000000000001</v>
      </c>
      <c r="L63" s="538" t="s">
        <v>1552</v>
      </c>
      <c r="M63" s="539"/>
      <c r="N63" s="25"/>
      <c r="O63" s="29"/>
      <c r="P63" s="29"/>
      <c r="Q63" s="29"/>
    </row>
    <row r="64" spans="1:17" x14ac:dyDescent="0.2">
      <c r="A64" s="551">
        <v>5314</v>
      </c>
      <c r="B64" s="540" t="s">
        <v>134</v>
      </c>
      <c r="C64" s="544"/>
      <c r="D64" s="544">
        <v>88</v>
      </c>
      <c r="E64" s="544"/>
      <c r="H64" s="537">
        <f t="shared" si="8"/>
        <v>300</v>
      </c>
      <c r="I64" s="569">
        <f t="shared" si="9"/>
        <v>300</v>
      </c>
      <c r="J64" s="539">
        <f t="shared" si="6"/>
        <v>0</v>
      </c>
      <c r="K64" s="545" t="str">
        <f t="shared" si="7"/>
        <v/>
      </c>
      <c r="L64" s="538"/>
      <c r="M64" s="539"/>
      <c r="N64" s="25"/>
      <c r="O64" s="29"/>
      <c r="P64" s="29"/>
      <c r="Q64" s="29"/>
    </row>
    <row r="65" spans="1:17" x14ac:dyDescent="0.2">
      <c r="A65" s="551">
        <v>5315</v>
      </c>
      <c r="B65" s="540" t="s">
        <v>135</v>
      </c>
      <c r="C65" s="544"/>
      <c r="D65" s="544"/>
      <c r="E65" s="544"/>
      <c r="H65" s="537">
        <f t="shared" si="8"/>
        <v>2100</v>
      </c>
      <c r="I65" s="569">
        <f t="shared" si="9"/>
        <v>2400</v>
      </c>
      <c r="J65" s="539">
        <f t="shared" si="6"/>
        <v>300</v>
      </c>
      <c r="K65" s="545">
        <f t="shared" si="7"/>
        <v>0.1429</v>
      </c>
      <c r="L65" s="538" t="s">
        <v>1553</v>
      </c>
      <c r="M65" s="539"/>
      <c r="N65" s="25"/>
      <c r="O65" s="29"/>
      <c r="P65" s="29"/>
      <c r="Q65" s="29"/>
    </row>
    <row r="66" spans="1:17" hidden="1" x14ac:dyDescent="0.2">
      <c r="A66" s="551">
        <v>5341</v>
      </c>
      <c r="B66" s="540" t="s">
        <v>136</v>
      </c>
      <c r="C66" s="544">
        <v>244.76</v>
      </c>
      <c r="D66" s="544">
        <v>223.51</v>
      </c>
      <c r="E66" s="544"/>
      <c r="H66" s="537">
        <f t="shared" si="8"/>
        <v>0</v>
      </c>
      <c r="I66" s="569">
        <f t="shared" si="9"/>
        <v>0</v>
      </c>
      <c r="J66" s="539">
        <f t="shared" si="6"/>
        <v>0</v>
      </c>
      <c r="K66" s="545" t="str">
        <f t="shared" si="7"/>
        <v/>
      </c>
      <c r="L66" s="538"/>
      <c r="M66" s="539"/>
      <c r="N66" s="25"/>
      <c r="O66" s="29"/>
      <c r="P66" s="29"/>
      <c r="Q66" s="29"/>
    </row>
    <row r="67" spans="1:17" x14ac:dyDescent="0.2">
      <c r="A67" s="551">
        <v>5344</v>
      </c>
      <c r="B67" s="540" t="s">
        <v>137</v>
      </c>
      <c r="C67" s="544">
        <v>3108.8</v>
      </c>
      <c r="D67" s="544">
        <v>1606.46</v>
      </c>
      <c r="E67" s="544"/>
      <c r="H67" s="537">
        <f t="shared" si="8"/>
        <v>3500</v>
      </c>
      <c r="I67" s="569">
        <f t="shared" si="9"/>
        <v>3850</v>
      </c>
      <c r="J67" s="539">
        <f t="shared" si="6"/>
        <v>350</v>
      </c>
      <c r="K67" s="545">
        <f t="shared" si="7"/>
        <v>0.1</v>
      </c>
      <c r="L67" s="538" t="s">
        <v>1554</v>
      </c>
      <c r="M67" s="539"/>
      <c r="N67" s="25"/>
      <c r="O67" s="29"/>
      <c r="P67" s="29"/>
      <c r="Q67" s="29"/>
    </row>
    <row r="68" spans="1:17" x14ac:dyDescent="0.2">
      <c r="A68" s="551">
        <v>5345</v>
      </c>
      <c r="B68" s="540" t="s">
        <v>1370</v>
      </c>
      <c r="C68" s="536"/>
      <c r="D68" s="536"/>
      <c r="E68" s="536"/>
      <c r="H68" s="537">
        <f t="shared" si="8"/>
        <v>0</v>
      </c>
      <c r="I68" s="569">
        <f t="shared" si="9"/>
        <v>500</v>
      </c>
      <c r="J68" s="539">
        <f t="shared" ref="J68" si="10">+I68-H68</f>
        <v>500</v>
      </c>
      <c r="K68" s="545"/>
      <c r="L68" s="538"/>
      <c r="M68" s="539"/>
      <c r="N68" s="25"/>
      <c r="O68" s="29"/>
      <c r="P68" s="29"/>
      <c r="Q68" s="29"/>
    </row>
    <row r="69" spans="1:17" x14ac:dyDescent="0.2">
      <c r="A69" s="551">
        <v>5420</v>
      </c>
      <c r="B69" s="540" t="s">
        <v>139</v>
      </c>
      <c r="C69" s="536">
        <v>1490.81</v>
      </c>
      <c r="D69" s="536">
        <v>1184.98</v>
      </c>
      <c r="E69" s="536"/>
      <c r="H69" s="537">
        <f t="shared" ref="H69:H74" si="11">+J28</f>
        <v>2500</v>
      </c>
      <c r="I69" s="569">
        <f t="shared" ref="I69:I74" si="12">+L28</f>
        <v>4000</v>
      </c>
      <c r="J69" s="539">
        <f t="shared" si="6"/>
        <v>1500</v>
      </c>
      <c r="K69" s="545">
        <f t="shared" si="7"/>
        <v>0.6</v>
      </c>
      <c r="L69" s="538" t="s">
        <v>1555</v>
      </c>
      <c r="M69" s="539"/>
      <c r="N69" s="25"/>
      <c r="O69" s="29"/>
      <c r="P69" s="29"/>
      <c r="Q69" s="29"/>
    </row>
    <row r="70" spans="1:17" x14ac:dyDescent="0.2">
      <c r="A70" s="551">
        <v>5581</v>
      </c>
      <c r="B70" s="540" t="s">
        <v>141</v>
      </c>
      <c r="C70" s="536"/>
      <c r="D70" s="536">
        <v>88.4</v>
      </c>
      <c r="E70" s="536"/>
      <c r="H70" s="537">
        <f t="shared" si="11"/>
        <v>125</v>
      </c>
      <c r="I70" s="569">
        <f t="shared" si="12"/>
        <v>125</v>
      </c>
      <c r="J70" s="539">
        <f t="shared" si="6"/>
        <v>0</v>
      </c>
      <c r="K70" s="545" t="str">
        <f t="shared" si="7"/>
        <v/>
      </c>
      <c r="L70" s="538"/>
      <c r="M70" s="539"/>
      <c r="N70" s="25"/>
      <c r="O70" s="4"/>
      <c r="P70" s="4"/>
      <c r="Q70" s="4"/>
    </row>
    <row r="71" spans="1:17" x14ac:dyDescent="0.2">
      <c r="A71" s="551">
        <v>5599</v>
      </c>
      <c r="B71" s="540" t="s">
        <v>798</v>
      </c>
      <c r="C71" s="536"/>
      <c r="D71" s="536">
        <v>1700</v>
      </c>
      <c r="E71" s="536"/>
      <c r="H71" s="537">
        <f t="shared" si="11"/>
        <v>0</v>
      </c>
      <c r="I71" s="569">
        <f t="shared" si="12"/>
        <v>0</v>
      </c>
      <c r="J71" s="539">
        <f t="shared" si="6"/>
        <v>0</v>
      </c>
      <c r="K71" s="545" t="str">
        <f t="shared" si="7"/>
        <v/>
      </c>
      <c r="L71" s="538"/>
      <c r="M71" s="539"/>
      <c r="N71" s="25"/>
      <c r="O71" s="4"/>
      <c r="P71" s="4"/>
      <c r="Q71" s="4"/>
    </row>
    <row r="72" spans="1:17" x14ac:dyDescent="0.2">
      <c r="A72" s="551">
        <v>5710</v>
      </c>
      <c r="B72" s="540" t="s">
        <v>529</v>
      </c>
      <c r="C72" s="536">
        <v>663.46</v>
      </c>
      <c r="D72" s="536">
        <v>859.2</v>
      </c>
      <c r="E72" s="536"/>
      <c r="H72" s="537">
        <f t="shared" si="11"/>
        <v>900</v>
      </c>
      <c r="I72" s="569">
        <f t="shared" si="12"/>
        <v>1500</v>
      </c>
      <c r="J72" s="539">
        <f t="shared" si="6"/>
        <v>600</v>
      </c>
      <c r="K72" s="545">
        <f t="shared" si="7"/>
        <v>0.66669999999999996</v>
      </c>
      <c r="L72" s="538" t="s">
        <v>1545</v>
      </c>
      <c r="M72" s="539"/>
      <c r="N72" s="25"/>
      <c r="O72" s="4"/>
      <c r="P72" s="4"/>
      <c r="Q72" s="4"/>
    </row>
    <row r="73" spans="1:17" x14ac:dyDescent="0.2">
      <c r="A73" s="551">
        <v>5730</v>
      </c>
      <c r="B73" s="540" t="s">
        <v>142</v>
      </c>
      <c r="C73" s="544">
        <v>110</v>
      </c>
      <c r="D73" s="544">
        <v>110</v>
      </c>
      <c r="E73" s="544"/>
      <c r="H73" s="537">
        <f t="shared" si="11"/>
        <v>110</v>
      </c>
      <c r="I73" s="569">
        <f t="shared" si="12"/>
        <v>110</v>
      </c>
      <c r="J73" s="539">
        <f t="shared" si="6"/>
        <v>0</v>
      </c>
      <c r="K73" s="545" t="str">
        <f t="shared" si="7"/>
        <v/>
      </c>
      <c r="L73" s="538"/>
      <c r="M73" s="539"/>
      <c r="N73" s="25"/>
      <c r="O73" s="4"/>
      <c r="P73" s="4"/>
      <c r="Q73" s="4"/>
    </row>
    <row r="74" spans="1:17" ht="13.5" thickBot="1" x14ac:dyDescent="0.25">
      <c r="A74" s="551">
        <v>5740</v>
      </c>
      <c r="B74" s="540" t="s">
        <v>149</v>
      </c>
      <c r="C74" s="542">
        <v>200</v>
      </c>
      <c r="D74" s="542">
        <v>200</v>
      </c>
      <c r="E74" s="542"/>
      <c r="H74" s="537">
        <f t="shared" si="11"/>
        <v>200</v>
      </c>
      <c r="I74" s="569">
        <f t="shared" si="12"/>
        <v>200</v>
      </c>
      <c r="J74" s="539">
        <f t="shared" si="6"/>
        <v>0</v>
      </c>
      <c r="K74" s="545" t="str">
        <f t="shared" si="7"/>
        <v/>
      </c>
      <c r="L74" s="538"/>
      <c r="M74" s="539"/>
      <c r="N74" s="25"/>
      <c r="O74" s="4"/>
      <c r="P74" s="4"/>
      <c r="Q74" s="4"/>
    </row>
    <row r="75" spans="1:17" x14ac:dyDescent="0.2">
      <c r="A75" s="4"/>
      <c r="B75" s="4"/>
      <c r="C75" s="25"/>
      <c r="D75" s="25"/>
      <c r="E75" s="25"/>
      <c r="F75" s="25"/>
      <c r="G75" s="25"/>
      <c r="H75" s="25"/>
      <c r="I75" s="25"/>
      <c r="J75" s="25"/>
      <c r="K75" s="4"/>
      <c r="L75" s="25"/>
      <c r="M75" s="25"/>
      <c r="N75" s="25"/>
      <c r="O75" s="4"/>
      <c r="P75" s="4"/>
      <c r="Q75" s="4"/>
    </row>
    <row r="76" spans="1:17" x14ac:dyDescent="0.2">
      <c r="A76" s="4"/>
      <c r="B76" s="4" t="s">
        <v>1600</v>
      </c>
      <c r="C76" s="25"/>
      <c r="D76" s="25"/>
      <c r="E76" s="25"/>
      <c r="F76" s="25"/>
      <c r="G76" s="25"/>
      <c r="H76" s="849">
        <f>SUM(H54:H74)</f>
        <v>159223</v>
      </c>
      <c r="I76" s="849">
        <f>SUM(I54:I74)</f>
        <v>167001</v>
      </c>
      <c r="J76" s="208">
        <f t="shared" ref="J76" si="13">+I76-H76</f>
        <v>7778</v>
      </c>
      <c r="K76" s="850">
        <f t="shared" ref="K76" si="14">IF(H76+I76&lt;&gt;0,IF(H76&lt;&gt;0,IF(J76&lt;&gt;0,ROUND((+J76/H76),4),""),1),"")</f>
        <v>4.8800000000000003E-2</v>
      </c>
      <c r="L76" s="25"/>
      <c r="M76" s="25"/>
      <c r="N76" s="25"/>
      <c r="O76" s="4"/>
      <c r="P76" s="4"/>
      <c r="Q76" s="4"/>
    </row>
    <row r="77" spans="1:17" x14ac:dyDescent="0.2">
      <c r="A77" s="4"/>
      <c r="B77" s="4"/>
      <c r="C77" s="25"/>
      <c r="D77" s="25"/>
      <c r="E77" s="25"/>
      <c r="F77" s="25"/>
      <c r="G77" s="25"/>
      <c r="H77" s="25"/>
      <c r="I77" s="25"/>
      <c r="J77" s="25"/>
      <c r="K77" s="4"/>
      <c r="L77" s="25"/>
      <c r="M77" s="25"/>
      <c r="N77" s="25"/>
      <c r="O77" s="4"/>
      <c r="P77" s="4"/>
      <c r="Q77" s="4"/>
    </row>
    <row r="78" spans="1:17" x14ac:dyDescent="0.2">
      <c r="A78" s="4"/>
      <c r="B78" s="4"/>
      <c r="C78" s="25"/>
      <c r="D78" s="25"/>
      <c r="E78" s="25"/>
      <c r="F78" s="25"/>
      <c r="G78" s="25"/>
      <c r="H78" s="25"/>
      <c r="I78" s="25"/>
      <c r="J78" s="25"/>
      <c r="K78" s="4"/>
      <c r="L78" s="25"/>
      <c r="M78" s="25"/>
      <c r="N78" s="25"/>
      <c r="O78" s="4"/>
      <c r="P78" s="4"/>
      <c r="Q78" s="4"/>
    </row>
    <row r="79" spans="1:17" x14ac:dyDescent="0.2">
      <c r="A79" s="4"/>
      <c r="B79" s="4"/>
      <c r="C79" s="25"/>
      <c r="D79" s="25"/>
      <c r="E79" s="25"/>
      <c r="F79" s="25"/>
      <c r="G79" s="25"/>
      <c r="H79" s="25"/>
      <c r="I79" s="25"/>
      <c r="J79" s="25"/>
      <c r="K79" s="4"/>
      <c r="L79" s="25"/>
      <c r="M79" s="25"/>
      <c r="N79" s="25"/>
      <c r="O79" s="4"/>
      <c r="P79" s="4"/>
      <c r="Q79" s="4"/>
    </row>
    <row r="80" spans="1:17" x14ac:dyDescent="0.2">
      <c r="A80" s="4"/>
      <c r="B80" s="4"/>
      <c r="C80" s="25"/>
      <c r="D80" s="25"/>
      <c r="E80" s="25"/>
      <c r="F80" s="25"/>
      <c r="G80" s="25"/>
      <c r="H80" s="25"/>
      <c r="I80" s="25"/>
      <c r="J80" s="25"/>
      <c r="K80" s="4"/>
      <c r="L80" s="25"/>
      <c r="M80" s="25"/>
      <c r="N80" s="25"/>
      <c r="O80" s="4"/>
      <c r="P80" s="4"/>
      <c r="Q80" s="4"/>
    </row>
    <row r="81" spans="1:17" x14ac:dyDescent="0.2">
      <c r="A81" s="4"/>
      <c r="B81" s="4"/>
      <c r="C81" s="25"/>
      <c r="D81" s="25"/>
      <c r="E81" s="25"/>
      <c r="F81" s="25"/>
      <c r="G81" s="25"/>
      <c r="H81" s="25"/>
      <c r="I81" s="25"/>
      <c r="J81" s="25"/>
      <c r="K81" s="4"/>
      <c r="L81" s="25"/>
      <c r="M81" s="25"/>
      <c r="N81" s="25"/>
      <c r="O81" s="4"/>
      <c r="P81" s="4"/>
      <c r="Q81" s="4"/>
    </row>
    <row r="82" spans="1:17" x14ac:dyDescent="0.2">
      <c r="A82" s="4"/>
      <c r="B82" s="4"/>
      <c r="C82" s="25"/>
      <c r="D82" s="25"/>
      <c r="E82" s="25"/>
      <c r="F82" s="25"/>
      <c r="G82" s="25"/>
      <c r="H82" s="25"/>
      <c r="I82" s="25"/>
      <c r="J82" s="25"/>
      <c r="K82" s="4"/>
      <c r="L82" s="25"/>
      <c r="M82" s="25"/>
      <c r="N82" s="25"/>
      <c r="O82" s="4"/>
      <c r="P82" s="4"/>
      <c r="Q82" s="4"/>
    </row>
    <row r="83" spans="1:17" x14ac:dyDescent="0.2">
      <c r="A83" s="4"/>
      <c r="B83" s="4"/>
      <c r="C83" s="25"/>
      <c r="D83" s="25"/>
      <c r="E83" s="25"/>
      <c r="F83" s="25"/>
      <c r="G83" s="25"/>
      <c r="H83" s="25"/>
      <c r="I83" s="25"/>
      <c r="J83" s="25"/>
      <c r="K83" s="4"/>
      <c r="L83" s="25"/>
      <c r="M83" s="25"/>
      <c r="N83" s="25"/>
      <c r="O83" s="4"/>
      <c r="P83" s="4"/>
      <c r="Q83" s="4"/>
    </row>
    <row r="84" spans="1:17" x14ac:dyDescent="0.2">
      <c r="A84" s="4"/>
      <c r="B84" s="4"/>
      <c r="C84" s="25"/>
      <c r="D84" s="25"/>
      <c r="E84" s="25"/>
      <c r="F84" s="25"/>
      <c r="G84" s="25"/>
      <c r="H84" s="25"/>
      <c r="I84" s="25"/>
      <c r="J84" s="25"/>
      <c r="K84" s="4"/>
      <c r="L84" s="25"/>
      <c r="M84" s="25"/>
      <c r="N84" s="25"/>
      <c r="O84" s="4"/>
      <c r="P84" s="4"/>
      <c r="Q84" s="4"/>
    </row>
    <row r="85" spans="1:17" x14ac:dyDescent="0.2">
      <c r="A85" s="4"/>
      <c r="B85" s="4"/>
      <c r="C85" s="25"/>
      <c r="D85" s="25"/>
      <c r="E85" s="25"/>
      <c r="F85" s="25"/>
      <c r="G85" s="25"/>
      <c r="H85" s="25"/>
      <c r="I85" s="25"/>
      <c r="J85" s="25"/>
      <c r="K85" s="4"/>
      <c r="L85" s="25"/>
      <c r="M85" s="25"/>
      <c r="N85" s="25"/>
      <c r="O85" s="4"/>
      <c r="P85" s="4"/>
      <c r="Q85" s="4"/>
    </row>
    <row r="86" spans="1:17" x14ac:dyDescent="0.2">
      <c r="A86" s="4"/>
      <c r="B86" s="4"/>
      <c r="C86" s="25"/>
      <c r="D86" s="25"/>
      <c r="E86" s="25"/>
      <c r="F86" s="25"/>
      <c r="G86" s="25"/>
      <c r="H86" s="25"/>
      <c r="I86" s="25"/>
      <c r="J86" s="25"/>
      <c r="K86" s="4"/>
      <c r="L86" s="25"/>
      <c r="M86" s="25"/>
      <c r="N86" s="25"/>
      <c r="O86" s="4"/>
      <c r="P86" s="4"/>
      <c r="Q86" s="4"/>
    </row>
    <row r="87" spans="1:17" x14ac:dyDescent="0.2">
      <c r="A87" s="4"/>
      <c r="B87" s="4"/>
      <c r="C87" s="25"/>
      <c r="D87" s="25"/>
      <c r="E87" s="25"/>
      <c r="F87" s="25"/>
      <c r="G87" s="25"/>
      <c r="H87" s="25"/>
      <c r="I87" s="25"/>
      <c r="J87" s="25"/>
      <c r="K87" s="4"/>
      <c r="L87" s="25"/>
      <c r="M87" s="25"/>
      <c r="N87" s="25"/>
      <c r="O87" s="4"/>
      <c r="P87" s="4"/>
      <c r="Q87" s="4"/>
    </row>
    <row r="88" spans="1:17" x14ac:dyDescent="0.2">
      <c r="A88" s="4"/>
      <c r="B88" s="4"/>
      <c r="C88" s="25"/>
      <c r="D88" s="25"/>
      <c r="E88" s="25"/>
      <c r="F88" s="25"/>
      <c r="G88" s="25"/>
      <c r="H88" s="25"/>
      <c r="I88" s="25"/>
      <c r="J88" s="25"/>
      <c r="K88" s="4"/>
      <c r="L88" s="25"/>
      <c r="M88" s="25"/>
      <c r="N88" s="25"/>
      <c r="O88" s="4"/>
      <c r="P88" s="4"/>
      <c r="Q88" s="4"/>
    </row>
    <row r="89" spans="1:17" x14ac:dyDescent="0.2">
      <c r="A89" s="4"/>
      <c r="B89" s="4"/>
      <c r="C89" s="25"/>
      <c r="D89" s="25"/>
      <c r="E89" s="25"/>
      <c r="F89" s="25"/>
      <c r="G89" s="25"/>
      <c r="H89" s="25"/>
      <c r="I89" s="25"/>
      <c r="J89" s="25"/>
      <c r="K89" s="4"/>
      <c r="L89" s="25"/>
      <c r="M89" s="25"/>
      <c r="N89" s="25"/>
      <c r="O89" s="4"/>
      <c r="P89" s="4"/>
      <c r="Q89" s="4"/>
    </row>
    <row r="90" spans="1:17" x14ac:dyDescent="0.2">
      <c r="A90" s="4"/>
      <c r="B90" s="4"/>
      <c r="C90" s="25"/>
      <c r="D90" s="25"/>
      <c r="E90" s="25"/>
      <c r="F90" s="25"/>
      <c r="G90" s="25"/>
      <c r="H90" s="25"/>
      <c r="I90" s="25"/>
      <c r="J90" s="25"/>
      <c r="K90" s="4"/>
      <c r="L90" s="25"/>
      <c r="M90" s="25"/>
      <c r="N90" s="25"/>
      <c r="O90" s="4"/>
      <c r="P90" s="4"/>
      <c r="Q90" s="4"/>
    </row>
    <row r="91" spans="1:17" x14ac:dyDescent="0.2">
      <c r="A91" s="4"/>
      <c r="B91" s="4"/>
      <c r="C91" s="25"/>
      <c r="D91" s="25"/>
      <c r="E91" s="25"/>
      <c r="F91" s="25"/>
      <c r="G91" s="25"/>
      <c r="H91" s="25"/>
      <c r="I91" s="25"/>
      <c r="J91" s="25"/>
      <c r="K91" s="4"/>
      <c r="L91" s="25"/>
      <c r="M91" s="25"/>
      <c r="N91" s="25"/>
      <c r="O91" s="4"/>
      <c r="P91" s="4"/>
      <c r="Q91" s="4"/>
    </row>
    <row r="92" spans="1:17" x14ac:dyDescent="0.2">
      <c r="A92" s="4"/>
      <c r="B92" s="4"/>
      <c r="C92" s="25"/>
      <c r="D92" s="25"/>
      <c r="E92" s="25"/>
      <c r="F92" s="25"/>
      <c r="G92" s="25"/>
      <c r="H92" s="25"/>
      <c r="I92" s="25"/>
      <c r="J92" s="25"/>
      <c r="K92" s="4"/>
      <c r="L92" s="25"/>
      <c r="M92" s="25"/>
      <c r="N92" s="25"/>
      <c r="O92" s="4"/>
      <c r="P92" s="4"/>
      <c r="Q92" s="4"/>
    </row>
    <row r="93" spans="1:17" x14ac:dyDescent="0.2">
      <c r="A93" s="4"/>
      <c r="B93" s="4"/>
      <c r="C93" s="25"/>
      <c r="D93" s="25"/>
      <c r="E93" s="25"/>
      <c r="F93" s="25"/>
      <c r="G93" s="25"/>
      <c r="H93" s="25"/>
      <c r="I93" s="25"/>
      <c r="J93" s="25"/>
      <c r="K93" s="4"/>
      <c r="L93" s="25"/>
      <c r="M93" s="25"/>
      <c r="N93" s="25"/>
      <c r="O93" s="4"/>
      <c r="P93" s="4"/>
      <c r="Q93" s="4"/>
    </row>
    <row r="94" spans="1:17" x14ac:dyDescent="0.2">
      <c r="A94" s="4"/>
      <c r="B94" s="4"/>
      <c r="C94" s="25"/>
      <c r="D94" s="25"/>
      <c r="E94" s="25"/>
      <c r="F94" s="25"/>
      <c r="G94" s="25"/>
      <c r="H94" s="25"/>
      <c r="I94" s="25"/>
      <c r="J94" s="25"/>
      <c r="K94" s="4"/>
      <c r="L94" s="25"/>
      <c r="M94" s="25"/>
      <c r="N94" s="25"/>
      <c r="O94" s="4"/>
      <c r="P94" s="4"/>
      <c r="Q94" s="4"/>
    </row>
    <row r="95" spans="1:17" x14ac:dyDescent="0.2">
      <c r="A95" s="4"/>
      <c r="B95" s="4"/>
      <c r="C95" s="25"/>
      <c r="D95" s="25"/>
      <c r="E95" s="25"/>
      <c r="F95" s="25"/>
      <c r="G95" s="25"/>
      <c r="H95" s="25"/>
      <c r="I95" s="25"/>
      <c r="J95" s="25"/>
      <c r="K95" s="4"/>
      <c r="L95" s="25"/>
      <c r="M95" s="25"/>
      <c r="N95" s="25"/>
      <c r="O95" s="4"/>
      <c r="P95" s="4"/>
      <c r="Q95" s="4"/>
    </row>
    <row r="96" spans="1:17" x14ac:dyDescent="0.2">
      <c r="A96" s="4"/>
      <c r="B96" s="4"/>
      <c r="C96" s="25"/>
      <c r="D96" s="25"/>
      <c r="E96" s="25"/>
      <c r="F96" s="25"/>
      <c r="G96" s="25"/>
      <c r="H96" s="25"/>
      <c r="I96" s="25"/>
      <c r="J96" s="25"/>
      <c r="K96" s="4"/>
      <c r="L96" s="25"/>
      <c r="M96" s="25"/>
      <c r="N96" s="25"/>
      <c r="O96" s="4"/>
      <c r="P96" s="4"/>
      <c r="Q96" s="4"/>
    </row>
    <row r="97" spans="1:17" x14ac:dyDescent="0.2">
      <c r="A97" s="4"/>
      <c r="B97" s="4"/>
      <c r="C97" s="25"/>
      <c r="D97" s="25"/>
      <c r="E97" s="25"/>
      <c r="F97" s="25"/>
      <c r="G97" s="25"/>
      <c r="H97" s="25"/>
      <c r="I97" s="25"/>
      <c r="J97" s="25"/>
      <c r="K97" s="4"/>
      <c r="L97" s="25"/>
      <c r="M97" s="25"/>
      <c r="N97" s="25"/>
      <c r="O97" s="4"/>
      <c r="P97" s="4"/>
      <c r="Q97" s="4"/>
    </row>
    <row r="98" spans="1:17" x14ac:dyDescent="0.2">
      <c r="A98" s="4"/>
      <c r="B98" s="4"/>
      <c r="C98" s="25"/>
      <c r="D98" s="25"/>
      <c r="E98" s="25"/>
      <c r="F98" s="25"/>
      <c r="G98" s="25"/>
      <c r="H98" s="25"/>
      <c r="I98" s="25"/>
      <c r="J98" s="25"/>
      <c r="K98" s="4"/>
      <c r="L98" s="25"/>
      <c r="M98" s="25"/>
      <c r="N98" s="25"/>
      <c r="O98" s="4"/>
      <c r="P98" s="4"/>
      <c r="Q98" s="4"/>
    </row>
    <row r="99" spans="1:17" x14ac:dyDescent="0.2">
      <c r="A99" s="4"/>
      <c r="B99" s="4"/>
      <c r="C99" s="25"/>
      <c r="D99" s="25"/>
      <c r="E99" s="25"/>
      <c r="F99" s="25"/>
      <c r="G99" s="25"/>
      <c r="H99" s="25"/>
      <c r="I99" s="25"/>
      <c r="J99" s="25"/>
      <c r="K99" s="4"/>
      <c r="L99" s="25"/>
      <c r="M99" s="25"/>
      <c r="N99" s="25"/>
      <c r="O99" s="4"/>
      <c r="P99" s="4"/>
      <c r="Q99" s="4"/>
    </row>
    <row r="100" spans="1:17" x14ac:dyDescent="0.2">
      <c r="A100" s="4"/>
      <c r="B100" s="4"/>
      <c r="C100" s="25"/>
      <c r="D100" s="25"/>
      <c r="E100" s="25"/>
      <c r="F100" s="25"/>
      <c r="G100" s="25"/>
      <c r="H100" s="25"/>
      <c r="I100" s="25"/>
      <c r="J100" s="25"/>
      <c r="K100" s="4"/>
      <c r="L100" s="25"/>
      <c r="M100" s="25"/>
      <c r="N100" s="25"/>
      <c r="O100" s="4"/>
      <c r="P100" s="4"/>
      <c r="Q100" s="4"/>
    </row>
    <row r="101" spans="1:17" x14ac:dyDescent="0.2">
      <c r="A101" s="4"/>
      <c r="B101" s="4"/>
      <c r="C101" s="25"/>
      <c r="D101" s="25"/>
      <c r="E101" s="25"/>
      <c r="F101" s="25"/>
      <c r="G101" s="25"/>
      <c r="H101" s="25"/>
      <c r="I101" s="25"/>
      <c r="J101" s="25"/>
      <c r="K101" s="4"/>
      <c r="L101" s="25"/>
      <c r="M101" s="25"/>
      <c r="N101" s="25"/>
      <c r="O101" s="4"/>
      <c r="P101" s="4"/>
      <c r="Q101" s="4"/>
    </row>
    <row r="102" spans="1:17" x14ac:dyDescent="0.2">
      <c r="A102" s="4"/>
      <c r="B102" s="4"/>
      <c r="C102" s="25"/>
      <c r="D102" s="25"/>
      <c r="E102" s="25"/>
      <c r="F102" s="25"/>
      <c r="G102" s="25"/>
      <c r="H102" s="25"/>
      <c r="I102" s="25"/>
      <c r="J102" s="25"/>
      <c r="K102" s="4"/>
      <c r="L102" s="25"/>
      <c r="M102" s="25"/>
      <c r="N102" s="25"/>
      <c r="O102" s="4"/>
      <c r="P102" s="4"/>
      <c r="Q102" s="4"/>
    </row>
    <row r="103" spans="1:17" x14ac:dyDescent="0.2">
      <c r="A103" s="4"/>
      <c r="B103" s="4"/>
      <c r="C103" s="25"/>
      <c r="D103" s="25"/>
      <c r="E103" s="25"/>
      <c r="F103" s="25"/>
      <c r="G103" s="25"/>
      <c r="H103" s="25"/>
      <c r="I103" s="25"/>
      <c r="J103" s="25"/>
      <c r="K103" s="4"/>
      <c r="L103" s="25"/>
      <c r="M103" s="25"/>
      <c r="N103" s="25"/>
      <c r="O103" s="4"/>
      <c r="P103" s="4"/>
      <c r="Q103" s="4"/>
    </row>
    <row r="104" spans="1:17" x14ac:dyDescent="0.2">
      <c r="A104" s="4"/>
      <c r="B104" s="4"/>
      <c r="C104" s="25"/>
      <c r="D104" s="25"/>
      <c r="E104" s="25"/>
      <c r="F104" s="25"/>
      <c r="G104" s="25"/>
      <c r="H104" s="25"/>
      <c r="I104" s="25"/>
      <c r="J104" s="25"/>
      <c r="K104" s="4"/>
      <c r="L104" s="25"/>
      <c r="M104" s="25"/>
      <c r="N104" s="25"/>
      <c r="O104" s="4"/>
      <c r="P104" s="4"/>
      <c r="Q104" s="4"/>
    </row>
    <row r="105" spans="1:17" x14ac:dyDescent="0.2">
      <c r="A105" s="4"/>
      <c r="B105" s="4"/>
      <c r="C105" s="25"/>
      <c r="D105" s="25"/>
      <c r="E105" s="25"/>
      <c r="F105" s="25"/>
      <c r="G105" s="25"/>
      <c r="H105" s="25"/>
      <c r="I105" s="25"/>
      <c r="J105" s="25"/>
      <c r="K105" s="4"/>
      <c r="L105" s="25"/>
      <c r="M105" s="25"/>
      <c r="N105" s="25"/>
      <c r="O105" s="4"/>
      <c r="P105" s="4"/>
      <c r="Q105" s="4"/>
    </row>
    <row r="106" spans="1:17" x14ac:dyDescent="0.2">
      <c r="A106" s="4"/>
      <c r="B106" s="4"/>
      <c r="C106" s="25"/>
      <c r="D106" s="25"/>
      <c r="E106" s="25"/>
      <c r="F106" s="25"/>
      <c r="G106" s="25"/>
      <c r="H106" s="25"/>
      <c r="I106" s="25"/>
      <c r="J106" s="25"/>
      <c r="K106" s="4"/>
      <c r="L106" s="25"/>
      <c r="M106" s="25"/>
      <c r="N106" s="25"/>
      <c r="O106" s="4"/>
      <c r="P106" s="4"/>
      <c r="Q106" s="4"/>
    </row>
    <row r="107" spans="1:17" x14ac:dyDescent="0.2">
      <c r="A107" s="4"/>
      <c r="B107" s="4"/>
      <c r="C107" s="25"/>
      <c r="D107" s="25"/>
      <c r="E107" s="25"/>
      <c r="F107" s="25"/>
      <c r="G107" s="25"/>
      <c r="H107" s="25"/>
      <c r="I107" s="25"/>
      <c r="J107" s="25"/>
      <c r="K107" s="4"/>
      <c r="L107" s="25"/>
      <c r="M107" s="25"/>
      <c r="N107" s="25"/>
      <c r="O107" s="4"/>
      <c r="P107" s="4"/>
      <c r="Q107" s="4"/>
    </row>
    <row r="108" spans="1:17" x14ac:dyDescent="0.2">
      <c r="A108" s="4"/>
      <c r="B108" s="4"/>
      <c r="C108" s="25"/>
      <c r="D108" s="25"/>
      <c r="E108" s="25"/>
      <c r="F108" s="25"/>
      <c r="G108" s="25"/>
      <c r="H108" s="25"/>
      <c r="I108" s="25"/>
      <c r="J108" s="25"/>
      <c r="K108" s="4"/>
      <c r="L108" s="25"/>
      <c r="M108" s="25"/>
      <c r="N108" s="25"/>
      <c r="O108" s="4"/>
      <c r="P108" s="4"/>
      <c r="Q108" s="4"/>
    </row>
    <row r="109" spans="1:17" x14ac:dyDescent="0.2">
      <c r="A109" s="4"/>
      <c r="B109" s="4"/>
      <c r="C109" s="25"/>
      <c r="D109" s="25"/>
      <c r="E109" s="25"/>
      <c r="F109" s="25"/>
      <c r="G109" s="25"/>
      <c r="H109" s="25"/>
      <c r="I109" s="25"/>
      <c r="J109" s="25"/>
      <c r="K109" s="4"/>
      <c r="L109" s="25"/>
      <c r="M109" s="25"/>
      <c r="N109" s="25"/>
      <c r="O109" s="4"/>
      <c r="P109" s="4"/>
      <c r="Q109" s="4"/>
    </row>
    <row r="110" spans="1:17" x14ac:dyDescent="0.2">
      <c r="A110" s="4"/>
      <c r="B110" s="4"/>
      <c r="C110" s="25"/>
      <c r="D110" s="25"/>
      <c r="E110" s="25"/>
      <c r="F110" s="25"/>
      <c r="G110" s="25"/>
      <c r="H110" s="25"/>
      <c r="I110" s="25"/>
      <c r="J110" s="25"/>
      <c r="K110" s="4"/>
      <c r="L110" s="25"/>
      <c r="M110" s="25"/>
      <c r="N110" s="25"/>
      <c r="O110" s="4"/>
      <c r="P110" s="4"/>
      <c r="Q110" s="4"/>
    </row>
    <row r="111" spans="1:17" x14ac:dyDescent="0.2">
      <c r="A111" s="4"/>
      <c r="B111" s="4"/>
      <c r="C111" s="25"/>
      <c r="D111" s="25"/>
      <c r="E111" s="25"/>
      <c r="F111" s="25"/>
      <c r="G111" s="25"/>
      <c r="H111" s="25"/>
      <c r="I111" s="25"/>
      <c r="J111" s="25"/>
      <c r="K111" s="4"/>
      <c r="L111" s="25"/>
      <c r="M111" s="25"/>
      <c r="N111" s="25"/>
      <c r="O111" s="4"/>
      <c r="P111" s="4"/>
      <c r="Q111" s="4"/>
    </row>
    <row r="112" spans="1:17" x14ac:dyDescent="0.2">
      <c r="A112" s="4"/>
      <c r="B112" s="4"/>
      <c r="C112" s="25"/>
      <c r="D112" s="25"/>
      <c r="E112" s="25"/>
      <c r="F112" s="25"/>
      <c r="G112" s="25"/>
      <c r="H112" s="25"/>
      <c r="I112" s="25"/>
      <c r="J112" s="25"/>
      <c r="K112" s="4"/>
      <c r="L112" s="25"/>
      <c r="M112" s="25"/>
      <c r="N112" s="25"/>
      <c r="O112" s="4"/>
      <c r="P112" s="4"/>
      <c r="Q112" s="4"/>
    </row>
    <row r="113" spans="1:17" x14ac:dyDescent="0.2">
      <c r="A113" s="4"/>
      <c r="B113" s="4"/>
      <c r="C113" s="25"/>
      <c r="D113" s="25"/>
      <c r="E113" s="25"/>
      <c r="F113" s="25"/>
      <c r="G113" s="25"/>
      <c r="H113" s="25"/>
      <c r="I113" s="25"/>
      <c r="J113" s="25"/>
      <c r="K113" s="4"/>
      <c r="L113" s="25"/>
      <c r="M113" s="25"/>
      <c r="N113" s="25"/>
      <c r="O113" s="4"/>
      <c r="P113" s="4"/>
      <c r="Q113" s="4"/>
    </row>
    <row r="114" spans="1:17" x14ac:dyDescent="0.2">
      <c r="A114" s="4"/>
      <c r="B114" s="4"/>
      <c r="C114" s="25"/>
      <c r="D114" s="25"/>
      <c r="E114" s="25"/>
      <c r="F114" s="25"/>
      <c r="G114" s="25"/>
      <c r="H114" s="25"/>
      <c r="I114" s="25"/>
      <c r="J114" s="25"/>
      <c r="K114" s="4"/>
      <c r="L114" s="25"/>
      <c r="M114" s="25"/>
      <c r="N114" s="25"/>
      <c r="O114" s="4"/>
      <c r="P114" s="4"/>
      <c r="Q114" s="4"/>
    </row>
    <row r="115" spans="1:17" x14ac:dyDescent="0.2">
      <c r="A115" s="4"/>
      <c r="B115" s="4"/>
      <c r="C115" s="25"/>
      <c r="D115" s="25"/>
      <c r="E115" s="25"/>
      <c r="F115" s="25"/>
      <c r="G115" s="25"/>
      <c r="H115" s="25"/>
      <c r="I115" s="25"/>
      <c r="J115" s="25"/>
      <c r="K115" s="4"/>
      <c r="L115" s="25"/>
      <c r="M115" s="25"/>
      <c r="N115" s="25"/>
      <c r="O115" s="4"/>
      <c r="P115" s="4"/>
      <c r="Q115" s="4"/>
    </row>
    <row r="116" spans="1:17" x14ac:dyDescent="0.2">
      <c r="A116" s="4"/>
      <c r="B116" s="4"/>
      <c r="C116" s="25"/>
      <c r="D116" s="25"/>
      <c r="E116" s="25"/>
      <c r="F116" s="25"/>
      <c r="G116" s="25"/>
      <c r="H116" s="25"/>
      <c r="I116" s="25"/>
      <c r="J116" s="25"/>
      <c r="K116" s="4"/>
      <c r="L116" s="25"/>
      <c r="M116" s="25"/>
      <c r="N116" s="25"/>
      <c r="O116" s="4"/>
      <c r="P116" s="4"/>
      <c r="Q116" s="4"/>
    </row>
    <row r="117" spans="1:17" x14ac:dyDescent="0.2">
      <c r="A117" s="4"/>
      <c r="B117" s="4"/>
      <c r="C117" s="25"/>
      <c r="D117" s="25"/>
      <c r="E117" s="25"/>
      <c r="F117" s="25"/>
      <c r="G117" s="25"/>
      <c r="H117" s="25"/>
      <c r="I117" s="25"/>
      <c r="J117" s="25"/>
      <c r="K117" s="4"/>
      <c r="L117" s="25"/>
      <c r="M117" s="25"/>
      <c r="N117" s="25"/>
      <c r="O117" s="4"/>
      <c r="P117" s="4"/>
      <c r="Q117" s="4"/>
    </row>
    <row r="118" spans="1:17" x14ac:dyDescent="0.2">
      <c r="A118" s="4"/>
      <c r="B118" s="4"/>
      <c r="C118" s="25"/>
      <c r="D118" s="25"/>
      <c r="E118" s="25"/>
      <c r="F118" s="25"/>
      <c r="G118" s="25"/>
      <c r="H118" s="25"/>
      <c r="I118" s="25"/>
      <c r="J118" s="25"/>
      <c r="K118" s="4"/>
      <c r="L118" s="25"/>
      <c r="M118" s="25"/>
      <c r="N118" s="25"/>
      <c r="O118" s="4"/>
      <c r="P118" s="4"/>
      <c r="Q118" s="4"/>
    </row>
    <row r="119" spans="1:17" x14ac:dyDescent="0.2">
      <c r="A119" s="4"/>
      <c r="B119" s="4"/>
      <c r="C119" s="25"/>
      <c r="D119" s="25"/>
      <c r="E119" s="25"/>
      <c r="F119" s="25"/>
      <c r="G119" s="25"/>
      <c r="H119" s="25"/>
      <c r="I119" s="25"/>
      <c r="J119" s="25"/>
      <c r="K119" s="4"/>
      <c r="L119" s="25"/>
      <c r="M119" s="25"/>
      <c r="N119" s="25"/>
      <c r="O119" s="4"/>
      <c r="P119" s="4"/>
      <c r="Q119" s="4"/>
    </row>
    <row r="120" spans="1:17" x14ac:dyDescent="0.2">
      <c r="A120" s="4"/>
      <c r="B120" s="4"/>
      <c r="C120" s="25"/>
      <c r="D120" s="25"/>
      <c r="E120" s="25"/>
      <c r="F120" s="25"/>
      <c r="G120" s="25"/>
      <c r="H120" s="25"/>
      <c r="I120" s="25"/>
      <c r="J120" s="25"/>
      <c r="K120" s="4"/>
      <c r="L120" s="25"/>
      <c r="M120" s="25"/>
      <c r="N120" s="25"/>
      <c r="O120" s="4"/>
      <c r="P120" s="4"/>
      <c r="Q120" s="4"/>
    </row>
    <row r="121" spans="1:17" x14ac:dyDescent="0.2">
      <c r="A121" s="4"/>
      <c r="B121" s="4"/>
      <c r="C121" s="25"/>
      <c r="D121" s="25"/>
      <c r="E121" s="25"/>
      <c r="F121" s="25"/>
      <c r="G121" s="25"/>
      <c r="H121" s="25"/>
      <c r="I121" s="25"/>
      <c r="J121" s="25"/>
      <c r="K121" s="4"/>
      <c r="L121" s="25"/>
      <c r="M121" s="25"/>
      <c r="N121" s="25"/>
      <c r="O121" s="4"/>
      <c r="P121" s="4"/>
      <c r="Q121" s="4"/>
    </row>
    <row r="122" spans="1:17" x14ac:dyDescent="0.2">
      <c r="A122" s="4"/>
      <c r="B122" s="4"/>
      <c r="C122" s="25"/>
      <c r="D122" s="25"/>
      <c r="E122" s="25"/>
      <c r="F122" s="25"/>
      <c r="G122" s="25"/>
      <c r="H122" s="25"/>
      <c r="I122" s="25"/>
      <c r="J122" s="25"/>
      <c r="K122" s="4"/>
      <c r="L122" s="25"/>
      <c r="M122" s="25"/>
      <c r="N122" s="25"/>
      <c r="O122" s="4"/>
      <c r="P122" s="4"/>
      <c r="Q122" s="4"/>
    </row>
    <row r="123" spans="1:17" x14ac:dyDescent="0.2">
      <c r="A123" s="4"/>
      <c r="C123" s="121"/>
    </row>
    <row r="124" spans="1:17" x14ac:dyDescent="0.2">
      <c r="C124" s="121"/>
    </row>
    <row r="125" spans="1:17" x14ac:dyDescent="0.2">
      <c r="C125" s="121"/>
    </row>
    <row r="126" spans="1:17" x14ac:dyDescent="0.2">
      <c r="C126" s="121"/>
    </row>
    <row r="127" spans="1:17" x14ac:dyDescent="0.2">
      <c r="C127" s="121"/>
    </row>
    <row r="128" spans="1:17"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sheetData>
  <phoneticPr fontId="0" type="noConversion"/>
  <hyperlinks>
    <hyperlink ref="A1" location="'Working Budget with funding det'!A1" display="Main "/>
    <hyperlink ref="B1" location="'Table of Contents'!A1" display="TOC"/>
  </hyperlinks>
  <pageMargins left="0.75" right="0.75" top="1" bottom="1" header="0.5" footer="0.5"/>
  <pageSetup scale="99" fitToHeight="2" orientation="landscape" horizontalDpi="300" verticalDpi="300" r:id="rId1"/>
  <headerFooter alignWithMargins="0">
    <oddFooter>&amp;L&amp;D     &amp;T&amp;C&amp;F&amp;R&amp;A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8"/>
  <sheetViews>
    <sheetView zoomScale="85" zoomScaleNormal="85" workbookViewId="0">
      <pane ySplit="7" topLeftCell="A24" activePane="bottomLeft" state="frozen"/>
      <selection activeCell="K15" sqref="K15"/>
      <selection pane="bottomLeft" activeCell="J38" sqref="J38"/>
    </sheetView>
  </sheetViews>
  <sheetFormatPr defaultRowHeight="12.75" x14ac:dyDescent="0.2"/>
  <cols>
    <col min="1" max="1" width="11.83203125" customWidth="1"/>
    <col min="2" max="2" width="36.6640625" customWidth="1"/>
    <col min="3" max="3" width="14.5" style="1" hidden="1" customWidth="1"/>
    <col min="4" max="7" width="14.5" style="121" hidden="1" customWidth="1"/>
    <col min="8" max="10" width="14.5" style="121" customWidth="1"/>
    <col min="11" max="11" width="14.5" customWidth="1"/>
    <col min="12" max="14" width="14.5" style="1" customWidth="1"/>
    <col min="15" max="17" width="14.5" customWidth="1"/>
    <col min="18" max="18" width="14.6640625" style="2" customWidth="1"/>
  </cols>
  <sheetData>
    <row r="1" spans="1:17" x14ac:dyDescent="0.2">
      <c r="A1" s="410" t="s">
        <v>1013</v>
      </c>
      <c r="B1" s="410" t="s">
        <v>1418</v>
      </c>
      <c r="N1"/>
    </row>
    <row r="2" spans="1:17" ht="15" x14ac:dyDescent="0.25">
      <c r="A2" s="49" t="s">
        <v>254</v>
      </c>
      <c r="B2" s="49"/>
      <c r="E2" s="153"/>
      <c r="H2" s="153" t="s">
        <v>252</v>
      </c>
      <c r="I2" s="153"/>
      <c r="J2" s="153"/>
      <c r="K2" s="67" t="s">
        <v>354</v>
      </c>
      <c r="M2" s="50" t="s">
        <v>477</v>
      </c>
    </row>
    <row r="3" spans="1:17" ht="13.5" thickBot="1" x14ac:dyDescent="0.25">
      <c r="A3" s="4"/>
      <c r="B3" s="4"/>
      <c r="C3" s="25"/>
      <c r="D3" s="25"/>
      <c r="E3" s="25"/>
      <c r="F3" s="25"/>
      <c r="G3" s="25"/>
      <c r="H3" s="25"/>
      <c r="I3" s="25"/>
      <c r="J3" s="25"/>
      <c r="K3" s="4"/>
      <c r="L3" s="25"/>
      <c r="M3" s="4"/>
      <c r="N3" s="4"/>
      <c r="Q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318"/>
      <c r="J5" s="318"/>
      <c r="K5" s="120" t="s">
        <v>509</v>
      </c>
      <c r="L5" s="95" t="s">
        <v>7</v>
      </c>
      <c r="M5" s="209" t="s">
        <v>783</v>
      </c>
    </row>
    <row r="6" spans="1:17" x14ac:dyDescent="0.2">
      <c r="A6" s="93"/>
      <c r="B6" s="216"/>
      <c r="C6" s="137"/>
      <c r="D6" s="137"/>
      <c r="E6" s="137"/>
      <c r="F6" s="137"/>
      <c r="G6" s="137"/>
      <c r="H6" s="137"/>
      <c r="I6" s="95"/>
      <c r="J6" s="95"/>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7" ht="13.5" thickTop="1" x14ac:dyDescent="0.2">
      <c r="A8" s="10"/>
      <c r="B8" s="192"/>
      <c r="C8" s="139"/>
      <c r="D8" s="345"/>
      <c r="E8" s="345"/>
      <c r="F8" s="345"/>
      <c r="G8" s="345"/>
      <c r="H8" s="345"/>
      <c r="I8" s="345"/>
      <c r="J8" s="177"/>
      <c r="K8" s="68"/>
      <c r="L8" s="11"/>
      <c r="M8" s="11"/>
    </row>
    <row r="9" spans="1:17" x14ac:dyDescent="0.2">
      <c r="A9" s="12">
        <v>5111</v>
      </c>
      <c r="B9" s="69" t="s">
        <v>684</v>
      </c>
      <c r="C9" s="140">
        <v>47211.5</v>
      </c>
      <c r="D9" s="32">
        <v>54648</v>
      </c>
      <c r="E9" s="32">
        <v>56574</v>
      </c>
      <c r="F9" s="32">
        <v>58569</v>
      </c>
      <c r="G9" s="32">
        <v>60633</v>
      </c>
      <c r="H9" s="32">
        <v>63080</v>
      </c>
      <c r="I9" s="32">
        <v>65951</v>
      </c>
      <c r="J9" s="33">
        <f>673+67271</f>
        <v>67944</v>
      </c>
      <c r="K9" s="32">
        <v>32360.5</v>
      </c>
      <c r="L9" s="33">
        <f>+K45+K46+0.52</f>
        <v>113037.00000000001</v>
      </c>
      <c r="M9" s="33"/>
    </row>
    <row r="10" spans="1:17" x14ac:dyDescent="0.2">
      <c r="A10" s="12">
        <v>5113</v>
      </c>
      <c r="B10" s="69" t="s">
        <v>685</v>
      </c>
      <c r="C10" s="140">
        <v>12608.24</v>
      </c>
      <c r="D10" s="14">
        <v>14529.42</v>
      </c>
      <c r="E10" s="14">
        <v>15036.46</v>
      </c>
      <c r="F10" s="14">
        <v>15806.8</v>
      </c>
      <c r="G10" s="14">
        <v>15361.4</v>
      </c>
      <c r="H10" s="14">
        <v>16774.490000000002</v>
      </c>
      <c r="I10" s="14">
        <v>42298.21</v>
      </c>
      <c r="J10" s="15">
        <f>445+44113</f>
        <v>44558</v>
      </c>
      <c r="K10" s="14">
        <v>20182.91</v>
      </c>
      <c r="L10" s="15"/>
      <c r="M10" s="15"/>
    </row>
    <row r="11" spans="1:17" ht="13.5" thickBot="1" x14ac:dyDescent="0.25">
      <c r="A11" s="12">
        <v>5144</v>
      </c>
      <c r="B11" s="69" t="s">
        <v>152</v>
      </c>
      <c r="C11" s="141"/>
      <c r="D11" s="16"/>
      <c r="E11" s="16"/>
      <c r="F11" s="16"/>
      <c r="G11" s="16">
        <v>450</v>
      </c>
      <c r="H11" s="16">
        <v>450</v>
      </c>
      <c r="I11" s="16">
        <v>450</v>
      </c>
      <c r="J11" s="17">
        <v>650</v>
      </c>
      <c r="K11" s="16"/>
      <c r="L11" s="17">
        <f>+N38</f>
        <v>500</v>
      </c>
      <c r="M11" s="17"/>
    </row>
    <row r="12" spans="1:17" x14ac:dyDescent="0.2">
      <c r="A12" s="12"/>
      <c r="B12" s="70" t="s">
        <v>125</v>
      </c>
      <c r="C12" s="142">
        <f t="shared" ref="C12:M12" si="0">SUM(C9:C11)</f>
        <v>59819.74</v>
      </c>
      <c r="D12" s="19">
        <f t="shared" si="0"/>
        <v>69177.42</v>
      </c>
      <c r="E12" s="19">
        <f t="shared" si="0"/>
        <v>71610.459999999992</v>
      </c>
      <c r="F12" s="19">
        <f t="shared" si="0"/>
        <v>74375.8</v>
      </c>
      <c r="G12" s="19">
        <f t="shared" si="0"/>
        <v>76444.399999999994</v>
      </c>
      <c r="H12" s="19">
        <f t="shared" si="0"/>
        <v>80304.490000000005</v>
      </c>
      <c r="I12" s="19">
        <f t="shared" si="0"/>
        <v>108699.20999999999</v>
      </c>
      <c r="J12" s="20">
        <f>SUM(J9:J11)</f>
        <v>113152</v>
      </c>
      <c r="K12" s="19">
        <f t="shared" si="0"/>
        <v>52543.41</v>
      </c>
      <c r="L12" s="20">
        <f>SUM(L9:L11)</f>
        <v>113537.00000000001</v>
      </c>
      <c r="M12" s="20">
        <f t="shared" si="0"/>
        <v>0</v>
      </c>
    </row>
    <row r="13" spans="1:17" x14ac:dyDescent="0.2">
      <c r="A13" s="12"/>
      <c r="B13" s="69"/>
      <c r="C13" s="140"/>
      <c r="D13" s="14"/>
      <c r="E13" s="14"/>
      <c r="F13" s="14"/>
      <c r="G13" s="14"/>
      <c r="H13" s="14"/>
      <c r="I13" s="14"/>
      <c r="J13" s="15"/>
      <c r="K13" s="14"/>
      <c r="L13" s="15"/>
      <c r="M13" s="15"/>
    </row>
    <row r="14" spans="1:17" hidden="1" x14ac:dyDescent="0.2">
      <c r="A14" s="12">
        <v>5247</v>
      </c>
      <c r="B14" s="69" t="s">
        <v>384</v>
      </c>
      <c r="C14" s="140">
        <v>400</v>
      </c>
      <c r="D14" s="14">
        <v>0</v>
      </c>
      <c r="E14" s="14"/>
      <c r="F14" s="14"/>
      <c r="G14" s="14"/>
      <c r="H14" s="14"/>
      <c r="I14" s="14"/>
      <c r="J14" s="15"/>
      <c r="K14" s="14"/>
      <c r="L14" s="15"/>
      <c r="M14" s="15"/>
    </row>
    <row r="15" spans="1:17" x14ac:dyDescent="0.2">
      <c r="A15" s="12">
        <v>5300</v>
      </c>
      <c r="B15" s="69" t="s">
        <v>1030</v>
      </c>
      <c r="C15" s="140"/>
      <c r="D15" s="14"/>
      <c r="E15" s="14"/>
      <c r="F15" s="14"/>
      <c r="G15" s="14">
        <v>4500</v>
      </c>
      <c r="H15" s="14">
        <v>4000</v>
      </c>
      <c r="I15" s="14">
        <v>0</v>
      </c>
      <c r="J15" s="15">
        <v>4000</v>
      </c>
      <c r="K15" s="14">
        <v>2400</v>
      </c>
      <c r="L15" s="15"/>
      <c r="M15" s="15"/>
    </row>
    <row r="16" spans="1:17" x14ac:dyDescent="0.2">
      <c r="A16" s="12">
        <v>5314</v>
      </c>
      <c r="B16" s="69" t="s">
        <v>134</v>
      </c>
      <c r="C16" s="140">
        <v>465</v>
      </c>
      <c r="D16" s="14">
        <v>190</v>
      </c>
      <c r="E16" s="14">
        <v>299</v>
      </c>
      <c r="F16" s="14">
        <v>155</v>
      </c>
      <c r="G16" s="14">
        <v>350</v>
      </c>
      <c r="H16" s="14">
        <v>405.24</v>
      </c>
      <c r="I16" s="14">
        <v>572.36</v>
      </c>
      <c r="J16" s="15">
        <v>450</v>
      </c>
      <c r="K16" s="14">
        <v>300</v>
      </c>
      <c r="L16" s="15">
        <v>1000</v>
      </c>
      <c r="M16" s="15"/>
    </row>
    <row r="17" spans="1:17" hidden="1" x14ac:dyDescent="0.2">
      <c r="A17" s="12">
        <v>5341</v>
      </c>
      <c r="B17" s="69" t="s">
        <v>136</v>
      </c>
      <c r="C17" s="140">
        <v>218.95</v>
      </c>
      <c r="D17" s="14">
        <v>207.97</v>
      </c>
      <c r="E17" s="14">
        <v>210.96</v>
      </c>
      <c r="F17" s="14">
        <v>215.83</v>
      </c>
      <c r="G17" s="14">
        <v>247.42</v>
      </c>
      <c r="H17" s="14"/>
      <c r="I17" s="14"/>
      <c r="J17" s="15"/>
      <c r="K17" s="14"/>
      <c r="L17" s="15"/>
      <c r="M17" s="15"/>
    </row>
    <row r="18" spans="1:17" x14ac:dyDescent="0.2">
      <c r="A18" s="12">
        <v>5344</v>
      </c>
      <c r="B18" s="69" t="s">
        <v>137</v>
      </c>
      <c r="C18" s="140">
        <v>324.27999999999997</v>
      </c>
      <c r="D18" s="14">
        <v>435.35</v>
      </c>
      <c r="E18" s="14">
        <v>425.43</v>
      </c>
      <c r="F18" s="14">
        <v>462.37</v>
      </c>
      <c r="G18" s="14">
        <v>280.69</v>
      </c>
      <c r="H18" s="14">
        <v>195.02</v>
      </c>
      <c r="I18" s="14">
        <v>278.26</v>
      </c>
      <c r="J18" s="15">
        <v>550</v>
      </c>
      <c r="K18" s="14"/>
      <c r="L18" s="15">
        <v>550</v>
      </c>
      <c r="M18" s="15"/>
    </row>
    <row r="19" spans="1:17" x14ac:dyDescent="0.2">
      <c r="A19" s="12">
        <v>5345</v>
      </c>
      <c r="B19" s="13" t="s">
        <v>138</v>
      </c>
      <c r="C19" s="39">
        <v>1089.3399999999999</v>
      </c>
      <c r="D19" s="39">
        <v>1702.95</v>
      </c>
      <c r="E19" s="39">
        <v>1256.99</v>
      </c>
      <c r="F19" s="39">
        <v>1307.4100000000001</v>
      </c>
      <c r="G19" s="39">
        <v>1054.68</v>
      </c>
      <c r="H19" s="39">
        <v>1471.48</v>
      </c>
      <c r="I19" s="39">
        <v>1063.5899999999999</v>
      </c>
      <c r="J19" s="40">
        <v>1650</v>
      </c>
      <c r="K19" s="39">
        <v>831.44</v>
      </c>
      <c r="L19" s="40">
        <v>1650</v>
      </c>
      <c r="M19" s="40"/>
    </row>
    <row r="20" spans="1:17" x14ac:dyDescent="0.2">
      <c r="A20" s="12">
        <v>5350</v>
      </c>
      <c r="B20" s="13" t="s">
        <v>1411</v>
      </c>
      <c r="C20" s="39"/>
      <c r="D20" s="39"/>
      <c r="E20" s="39"/>
      <c r="F20" s="39"/>
      <c r="G20" s="39"/>
      <c r="H20" s="39"/>
      <c r="I20" s="39"/>
      <c r="J20" s="40">
        <v>3000</v>
      </c>
      <c r="K20" s="39">
        <v>3000</v>
      </c>
      <c r="L20" s="40">
        <v>1500</v>
      </c>
      <c r="M20" s="40"/>
    </row>
    <row r="21" spans="1:17" x14ac:dyDescent="0.2">
      <c r="A21" s="12">
        <v>5380</v>
      </c>
      <c r="B21" s="13" t="s">
        <v>434</v>
      </c>
      <c r="C21" s="14">
        <v>250</v>
      </c>
      <c r="D21" s="14">
        <v>107.43</v>
      </c>
      <c r="E21" s="14">
        <v>1039</v>
      </c>
      <c r="F21" s="14">
        <v>291</v>
      </c>
      <c r="G21" s="14">
        <v>1142</v>
      </c>
      <c r="H21" s="14"/>
      <c r="I21" s="14">
        <v>190</v>
      </c>
      <c r="J21" s="15">
        <v>300</v>
      </c>
      <c r="K21" s="14">
        <v>259</v>
      </c>
      <c r="L21" s="15">
        <v>300</v>
      </c>
      <c r="M21" s="15"/>
    </row>
    <row r="22" spans="1:17" x14ac:dyDescent="0.2">
      <c r="A22" s="12">
        <v>5420</v>
      </c>
      <c r="B22" s="13" t="s">
        <v>139</v>
      </c>
      <c r="C22" s="19">
        <v>405.65</v>
      </c>
      <c r="D22" s="19">
        <v>755.61</v>
      </c>
      <c r="E22" s="19">
        <v>524.92999999999995</v>
      </c>
      <c r="F22" s="19">
        <v>916.79</v>
      </c>
      <c r="G22" s="19">
        <v>373.24</v>
      </c>
      <c r="H22" s="19">
        <v>1589.88</v>
      </c>
      <c r="I22" s="19">
        <v>581.44000000000005</v>
      </c>
      <c r="J22" s="20">
        <v>750</v>
      </c>
      <c r="K22" s="19">
        <v>53.99</v>
      </c>
      <c r="L22" s="20">
        <v>750</v>
      </c>
      <c r="M22" s="20"/>
    </row>
    <row r="23" spans="1:17" x14ac:dyDescent="0.2">
      <c r="A23" s="12">
        <v>5490</v>
      </c>
      <c r="B23" s="13" t="s">
        <v>23</v>
      </c>
      <c r="C23" s="14">
        <v>141.15</v>
      </c>
      <c r="D23" s="19">
        <v>0</v>
      </c>
      <c r="E23" s="19">
        <v>36.04</v>
      </c>
      <c r="F23" s="19"/>
      <c r="G23" s="19"/>
      <c r="H23" s="19"/>
      <c r="I23" s="19"/>
      <c r="J23" s="20"/>
      <c r="K23" s="19"/>
      <c r="L23" s="20"/>
      <c r="M23" s="20"/>
    </row>
    <row r="24" spans="1:17" x14ac:dyDescent="0.2">
      <c r="A24" s="12">
        <v>5581</v>
      </c>
      <c r="B24" s="13" t="s">
        <v>141</v>
      </c>
      <c r="C24" s="14">
        <v>273.77999999999997</v>
      </c>
      <c r="D24" s="14">
        <v>176.8</v>
      </c>
      <c r="E24" s="14">
        <v>258.3</v>
      </c>
      <c r="F24" s="14">
        <v>40</v>
      </c>
      <c r="G24" s="14">
        <v>264.60000000000002</v>
      </c>
      <c r="H24" s="14">
        <v>197.6</v>
      </c>
      <c r="I24" s="14">
        <v>257.60000000000002</v>
      </c>
      <c r="J24" s="15">
        <v>200</v>
      </c>
      <c r="K24" s="14"/>
      <c r="L24" s="15">
        <v>200</v>
      </c>
      <c r="M24" s="15"/>
    </row>
    <row r="25" spans="1:17" x14ac:dyDescent="0.2">
      <c r="A25" s="12">
        <v>5590</v>
      </c>
      <c r="B25" s="28" t="s">
        <v>555</v>
      </c>
      <c r="C25" s="14">
        <v>107.45</v>
      </c>
      <c r="D25" s="14">
        <v>288.33</v>
      </c>
      <c r="E25" s="14"/>
      <c r="F25" s="14">
        <v>100</v>
      </c>
      <c r="G25" s="14">
        <v>113.31</v>
      </c>
      <c r="H25" s="14"/>
      <c r="I25" s="14">
        <v>622.38</v>
      </c>
      <c r="J25" s="15">
        <v>350</v>
      </c>
      <c r="K25" s="14"/>
      <c r="L25" s="15">
        <v>350</v>
      </c>
      <c r="M25" s="15"/>
    </row>
    <row r="26" spans="1:17" x14ac:dyDescent="0.2">
      <c r="A26" s="12">
        <v>5710</v>
      </c>
      <c r="B26" s="13" t="s">
        <v>529</v>
      </c>
      <c r="C26" s="19">
        <v>399.34</v>
      </c>
      <c r="D26" s="19">
        <v>407.12</v>
      </c>
      <c r="E26" s="19">
        <v>397.89</v>
      </c>
      <c r="F26" s="19">
        <v>342.72</v>
      </c>
      <c r="G26" s="19">
        <v>483.91</v>
      </c>
      <c r="H26" s="19">
        <v>556.12</v>
      </c>
      <c r="I26" s="19">
        <v>745.52</v>
      </c>
      <c r="J26" s="20">
        <v>450</v>
      </c>
      <c r="K26" s="19">
        <v>208.36</v>
      </c>
      <c r="L26" s="20">
        <v>900</v>
      </c>
      <c r="M26" s="20"/>
    </row>
    <row r="27" spans="1:17" ht="13.5" thickBot="1" x14ac:dyDescent="0.25">
      <c r="A27" s="12">
        <v>5730</v>
      </c>
      <c r="B27" s="13" t="s">
        <v>142</v>
      </c>
      <c r="C27" s="16">
        <v>401</v>
      </c>
      <c r="D27" s="16">
        <v>594.5</v>
      </c>
      <c r="E27" s="16">
        <v>551</v>
      </c>
      <c r="F27" s="16">
        <v>483</v>
      </c>
      <c r="G27" s="16">
        <v>360</v>
      </c>
      <c r="H27" s="16">
        <v>387</v>
      </c>
      <c r="I27" s="16">
        <v>357</v>
      </c>
      <c r="J27" s="17">
        <v>450</v>
      </c>
      <c r="K27" s="16"/>
      <c r="L27" s="17">
        <v>450</v>
      </c>
      <c r="M27" s="17"/>
    </row>
    <row r="28" spans="1:17" x14ac:dyDescent="0.2">
      <c r="A28" s="12"/>
      <c r="B28" s="18" t="s">
        <v>442</v>
      </c>
      <c r="C28" s="39">
        <f t="shared" ref="C28:K28" si="1">SUM(C14:C27)</f>
        <v>4475.9399999999996</v>
      </c>
      <c r="D28" s="39">
        <f t="shared" si="1"/>
        <v>4866.0600000000004</v>
      </c>
      <c r="E28" s="39">
        <f t="shared" si="1"/>
        <v>4999.54</v>
      </c>
      <c r="F28" s="39">
        <f>SUM(F16:F27)</f>
        <v>4314.12</v>
      </c>
      <c r="G28" s="39">
        <f>SUM(G14:G27)</f>
        <v>9169.8499999999985</v>
      </c>
      <c r="H28" s="39">
        <f>SUM(H14:H27)</f>
        <v>8802.34</v>
      </c>
      <c r="I28" s="39">
        <f t="shared" si="1"/>
        <v>4668.1499999999996</v>
      </c>
      <c r="J28" s="40">
        <f>SUM(J14:J27)</f>
        <v>12150</v>
      </c>
      <c r="K28" s="39">
        <f t="shared" si="1"/>
        <v>7052.79</v>
      </c>
      <c r="L28" s="40">
        <f>SUM(L14:L27)</f>
        <v>7650</v>
      </c>
      <c r="M28" s="40">
        <f>SUM(M14:M27)</f>
        <v>0</v>
      </c>
    </row>
    <row r="29" spans="1:17" x14ac:dyDescent="0.2">
      <c r="A29" s="12"/>
      <c r="B29" s="13"/>
      <c r="C29" s="39"/>
      <c r="D29" s="39"/>
      <c r="E29" s="39"/>
      <c r="F29" s="39"/>
      <c r="G29" s="39"/>
      <c r="H29" s="39"/>
      <c r="I29" s="39"/>
      <c r="J29" s="40"/>
      <c r="K29" s="39"/>
      <c r="L29" s="40"/>
      <c r="M29" s="40"/>
    </row>
    <row r="30" spans="1:17" ht="13.5" thickBot="1" x14ac:dyDescent="0.25">
      <c r="A30" s="21"/>
      <c r="B30" s="22" t="s">
        <v>285</v>
      </c>
      <c r="C30" s="23">
        <f t="shared" ref="C30:K30" si="2">+C28+C12</f>
        <v>64295.68</v>
      </c>
      <c r="D30" s="23">
        <f t="shared" si="2"/>
        <v>74043.48</v>
      </c>
      <c r="E30" s="23">
        <f>+E28+E12</f>
        <v>76609.999999999985</v>
      </c>
      <c r="F30" s="23">
        <f>+F28+F12</f>
        <v>78689.919999999998</v>
      </c>
      <c r="G30" s="23">
        <f>+G28+G12</f>
        <v>85614.25</v>
      </c>
      <c r="H30" s="23">
        <f>+H28+H12</f>
        <v>89106.83</v>
      </c>
      <c r="I30" s="23">
        <f t="shared" si="2"/>
        <v>113367.35999999999</v>
      </c>
      <c r="J30" s="24">
        <f>+J28+J12</f>
        <v>125302</v>
      </c>
      <c r="K30" s="23">
        <f t="shared" si="2"/>
        <v>59596.200000000004</v>
      </c>
      <c r="L30" s="24">
        <f>+L28+L12</f>
        <v>121187.00000000001</v>
      </c>
      <c r="M30" s="24">
        <f>+L30</f>
        <v>121187.00000000001</v>
      </c>
    </row>
    <row r="31" spans="1:17" ht="16.5" thickTop="1" x14ac:dyDescent="0.25">
      <c r="A31" s="102"/>
      <c r="B31" s="102"/>
      <c r="C31" s="25"/>
      <c r="D31" s="25"/>
      <c r="E31" s="25"/>
      <c r="F31" s="25"/>
      <c r="G31" s="25"/>
      <c r="H31" s="25"/>
      <c r="I31" s="25"/>
      <c r="J31" s="25"/>
      <c r="K31" s="29"/>
      <c r="L31" s="25"/>
      <c r="M31" s="25"/>
      <c r="N31" s="29"/>
      <c r="P31" s="214"/>
      <c r="Q31" s="29"/>
    </row>
    <row r="32" spans="1:17" x14ac:dyDescent="0.2">
      <c r="A32" s="4" t="s">
        <v>521</v>
      </c>
      <c r="B32" s="4"/>
    </row>
    <row r="33" spans="1:17" ht="13.5" thickBot="1" x14ac:dyDescent="0.25">
      <c r="A33" s="4"/>
      <c r="B33" s="4" t="s">
        <v>1565</v>
      </c>
    </row>
    <row r="34" spans="1:17" ht="13.5" thickTop="1" x14ac:dyDescent="0.2">
      <c r="A34" s="162" t="s">
        <v>883</v>
      </c>
      <c r="B34" s="114"/>
      <c r="H34" s="162" t="s">
        <v>84</v>
      </c>
      <c r="I34" s="169" t="s">
        <v>33</v>
      </c>
      <c r="J34" s="182"/>
      <c r="K34" s="171" t="s">
        <v>578</v>
      </c>
      <c r="L34"/>
      <c r="M34" s="220" t="s">
        <v>336</v>
      </c>
      <c r="N34"/>
      <c r="O34" s="1"/>
    </row>
    <row r="35" spans="1:17" ht="13.5" thickBot="1" x14ac:dyDescent="0.25">
      <c r="A35" s="392" t="s">
        <v>884</v>
      </c>
      <c r="B35" s="116" t="s">
        <v>522</v>
      </c>
      <c r="H35" s="173"/>
      <c r="I35" s="172" t="s">
        <v>575</v>
      </c>
      <c r="J35" s="173" t="s">
        <v>34</v>
      </c>
      <c r="K35" s="173" t="s">
        <v>101</v>
      </c>
      <c r="L35" s="246" t="s">
        <v>335</v>
      </c>
      <c r="M35" s="246" t="s">
        <v>900</v>
      </c>
      <c r="N35" s="246" t="s">
        <v>337</v>
      </c>
      <c r="O35" s="1"/>
    </row>
    <row r="36" spans="1:17" ht="13.5" thickTop="1" x14ac:dyDescent="0.2">
      <c r="A36" s="185">
        <v>40343</v>
      </c>
      <c r="B36" s="117" t="s">
        <v>678</v>
      </c>
      <c r="H36" s="20" t="s">
        <v>1066</v>
      </c>
      <c r="I36" s="168"/>
      <c r="J36" s="19"/>
      <c r="K36" s="168">
        <f>+'NAGE &amp; Non-Union Wages'!I10</f>
        <v>70341</v>
      </c>
      <c r="L36" s="185">
        <v>40197</v>
      </c>
      <c r="M36">
        <v>11</v>
      </c>
      <c r="N36" s="73">
        <v>500</v>
      </c>
      <c r="O36" s="1"/>
    </row>
    <row r="37" spans="1:17" x14ac:dyDescent="0.2">
      <c r="A37" s="185"/>
      <c r="B37" s="653" t="s">
        <v>1183</v>
      </c>
      <c r="H37" s="40" t="s">
        <v>1067</v>
      </c>
      <c r="I37" s="654">
        <f>+'NAGE &amp; Non-Union Wages'!I5</f>
        <v>20.75</v>
      </c>
      <c r="J37" s="32">
        <v>910</v>
      </c>
      <c r="K37" s="180">
        <f>+ROUND((+I37*J37),2)</f>
        <v>18882.5</v>
      </c>
      <c r="L37" s="185"/>
      <c r="M37"/>
      <c r="N37" s="2"/>
      <c r="O37" s="235"/>
    </row>
    <row r="38" spans="1:17" x14ac:dyDescent="0.2">
      <c r="A38" s="69"/>
      <c r="B38" s="69" t="s">
        <v>1182</v>
      </c>
      <c r="C38" s="14"/>
      <c r="D38" s="14"/>
      <c r="E38" s="14"/>
      <c r="H38" s="14" t="s">
        <v>1159</v>
      </c>
      <c r="I38" s="156">
        <f>+'NAGE &amp; Non-Union Wages'!F6</f>
        <v>20.83</v>
      </c>
      <c r="J38" s="156">
        <v>1312.5</v>
      </c>
      <c r="K38" s="180">
        <f>+ROUND((+I38*J38),2)</f>
        <v>27339.38</v>
      </c>
      <c r="L38" s="25"/>
      <c r="M38" s="29" t="s">
        <v>431</v>
      </c>
      <c r="N38" s="2">
        <f>SUM(N36:N37)</f>
        <v>500</v>
      </c>
      <c r="O38" s="1"/>
    </row>
    <row r="39" spans="1:17" x14ac:dyDescent="0.2">
      <c r="A39" s="4"/>
      <c r="B39" s="4"/>
      <c r="C39" s="25"/>
      <c r="D39" s="25"/>
      <c r="E39" s="25"/>
      <c r="H39" s="25"/>
      <c r="I39" s="25"/>
      <c r="J39" s="112"/>
      <c r="K39" s="29"/>
      <c r="L39" s="29"/>
      <c r="M39" s="29"/>
      <c r="N39" s="2"/>
    </row>
    <row r="40" spans="1:17" x14ac:dyDescent="0.2">
      <c r="A40" s="4"/>
      <c r="B40" s="4"/>
      <c r="C40" s="25"/>
      <c r="D40" s="25"/>
      <c r="E40" s="25"/>
      <c r="H40" s="25"/>
      <c r="I40" s="25"/>
      <c r="J40" s="112"/>
      <c r="K40" s="29"/>
      <c r="L40" s="29"/>
      <c r="M40" s="29"/>
      <c r="N40" s="2"/>
    </row>
    <row r="41" spans="1:17" x14ac:dyDescent="0.2">
      <c r="A41" s="102" t="s">
        <v>521</v>
      </c>
      <c r="B41" s="102"/>
      <c r="C41" s="368"/>
      <c r="D41" s="413"/>
      <c r="E41" s="413"/>
      <c r="F41" s="413"/>
      <c r="G41" s="413"/>
      <c r="H41" s="413"/>
      <c r="I41" s="413"/>
      <c r="J41" s="413"/>
      <c r="K41" s="130"/>
    </row>
    <row r="42" spans="1:17" ht="13.5" thickBot="1" x14ac:dyDescent="0.25">
      <c r="A42" s="102"/>
      <c r="B42" s="440" t="s">
        <v>1566</v>
      </c>
      <c r="C42" s="368"/>
      <c r="D42" s="413"/>
      <c r="E42" s="413"/>
      <c r="F42" s="413"/>
      <c r="G42" s="413"/>
      <c r="H42" s="413"/>
      <c r="I42" s="413"/>
      <c r="J42" s="413"/>
      <c r="K42" s="130"/>
    </row>
    <row r="43" spans="1:17" ht="13.5" thickTop="1" x14ac:dyDescent="0.2">
      <c r="A43" s="863" t="s">
        <v>883</v>
      </c>
      <c r="B43" s="864"/>
      <c r="C43" s="368"/>
      <c r="D43" s="413"/>
      <c r="E43" s="413"/>
      <c r="F43" s="413"/>
      <c r="G43" s="413"/>
      <c r="H43" s="863" t="s">
        <v>84</v>
      </c>
      <c r="I43" s="865" t="s">
        <v>33</v>
      </c>
      <c r="J43" s="866"/>
      <c r="K43" s="867" t="s">
        <v>578</v>
      </c>
      <c r="L43"/>
      <c r="M43" s="220" t="s">
        <v>336</v>
      </c>
      <c r="N43"/>
    </row>
    <row r="44" spans="1:17" ht="13.5" thickBot="1" x14ac:dyDescent="0.25">
      <c r="A44" s="868" t="s">
        <v>884</v>
      </c>
      <c r="B44" s="869" t="s">
        <v>522</v>
      </c>
      <c r="C44" s="368"/>
      <c r="D44" s="413"/>
      <c r="E44" s="413"/>
      <c r="F44" s="413"/>
      <c r="G44" s="413"/>
      <c r="H44" s="512"/>
      <c r="I44" s="511" t="s">
        <v>575</v>
      </c>
      <c r="J44" s="512" t="s">
        <v>34</v>
      </c>
      <c r="K44" s="512" t="s">
        <v>101</v>
      </c>
      <c r="L44" s="246" t="s">
        <v>335</v>
      </c>
      <c r="M44" s="246" t="s">
        <v>900</v>
      </c>
      <c r="N44" s="246" t="s">
        <v>337</v>
      </c>
    </row>
    <row r="45" spans="1:17" ht="13.5" thickTop="1" x14ac:dyDescent="0.2">
      <c r="A45" s="487">
        <v>40343</v>
      </c>
      <c r="B45" s="325" t="s">
        <v>678</v>
      </c>
      <c r="C45" s="368"/>
      <c r="D45" s="413"/>
      <c r="E45" s="413"/>
      <c r="F45" s="413"/>
      <c r="G45" s="413"/>
      <c r="H45" s="134" t="s">
        <v>1066</v>
      </c>
      <c r="I45" s="359"/>
      <c r="J45" s="136"/>
      <c r="K45" s="359">
        <f>+'NAGE &amp; Non-Union Wages'!I10</f>
        <v>70341</v>
      </c>
      <c r="L45" s="185">
        <v>40197</v>
      </c>
      <c r="M45">
        <v>11</v>
      </c>
      <c r="N45" s="73">
        <v>500</v>
      </c>
    </row>
    <row r="46" spans="1:17" x14ac:dyDescent="0.2">
      <c r="A46" s="487"/>
      <c r="B46" s="833" t="s">
        <v>1567</v>
      </c>
      <c r="C46" s="368"/>
      <c r="D46" s="413"/>
      <c r="E46" s="413"/>
      <c r="F46" s="413"/>
      <c r="G46" s="413"/>
      <c r="H46" s="135" t="s">
        <v>1337</v>
      </c>
      <c r="I46" s="870">
        <f>+'NAGE &amp; Non-Union Wages'!D8</f>
        <v>23.35</v>
      </c>
      <c r="J46" s="136">
        <v>1828.5</v>
      </c>
      <c r="K46" s="871">
        <f>+ROUND((+I46*J46),2)</f>
        <v>42695.48</v>
      </c>
      <c r="L46" s="185"/>
      <c r="M46"/>
      <c r="N46" s="2"/>
    </row>
    <row r="47" spans="1:17" x14ac:dyDescent="0.2">
      <c r="A47" s="250"/>
      <c r="B47" s="250"/>
      <c r="C47" s="156"/>
      <c r="D47" s="156"/>
      <c r="E47" s="156"/>
      <c r="F47" s="413"/>
      <c r="G47" s="413"/>
      <c r="H47" s="156"/>
      <c r="I47" s="156">
        <f>+'NAGE &amp; Non-Union Wages'!F15</f>
        <v>0</v>
      </c>
      <c r="J47" s="156"/>
      <c r="K47" s="871">
        <f>+ROUND((+I47*J47),2)</f>
        <v>0</v>
      </c>
      <c r="L47" s="25"/>
      <c r="M47" s="29" t="s">
        <v>431</v>
      </c>
      <c r="N47" s="2">
        <f>SUM(N45:N46)</f>
        <v>500</v>
      </c>
      <c r="O47" s="29"/>
      <c r="P47" s="29"/>
      <c r="Q47" s="29"/>
    </row>
    <row r="48" spans="1:17" ht="13.5" thickBot="1" x14ac:dyDescent="0.25">
      <c r="A48" s="4"/>
      <c r="B48" s="4"/>
      <c r="C48" s="25"/>
      <c r="D48" s="25"/>
      <c r="E48" s="25"/>
      <c r="H48" s="25"/>
      <c r="I48" s="25"/>
      <c r="J48" s="112"/>
      <c r="K48" s="29"/>
      <c r="L48" s="29"/>
      <c r="M48" s="29"/>
      <c r="N48" s="2"/>
      <c r="O48" s="29"/>
      <c r="P48" s="29"/>
      <c r="Q48" s="29"/>
    </row>
    <row r="49" spans="1:17" ht="13.5" thickTop="1" x14ac:dyDescent="0.2">
      <c r="A49" s="4"/>
      <c r="B49" s="4"/>
      <c r="C49" s="25"/>
      <c r="D49" s="25"/>
      <c r="E49" s="25"/>
      <c r="H49" s="521" t="s">
        <v>542</v>
      </c>
      <c r="I49" s="522" t="s">
        <v>9</v>
      </c>
      <c r="J49" s="112"/>
      <c r="K49" s="29"/>
      <c r="L49" s="29"/>
      <c r="M49" s="29"/>
      <c r="N49" s="2"/>
      <c r="O49" s="29"/>
      <c r="P49" s="29"/>
      <c r="Q49" s="29"/>
    </row>
    <row r="50" spans="1:17" ht="13.5" thickBot="1" x14ac:dyDescent="0.25">
      <c r="A50" s="525" t="s">
        <v>123</v>
      </c>
      <c r="B50" s="526"/>
      <c r="C50" s="527" t="s">
        <v>334</v>
      </c>
      <c r="D50" s="527" t="s">
        <v>718</v>
      </c>
      <c r="E50" s="528" t="s">
        <v>734</v>
      </c>
      <c r="H50" s="529" t="s">
        <v>899</v>
      </c>
      <c r="I50" s="529" t="s">
        <v>900</v>
      </c>
      <c r="J50" s="528" t="s">
        <v>1075</v>
      </c>
      <c r="K50" s="530" t="s">
        <v>1075</v>
      </c>
      <c r="L50" s="531" t="s">
        <v>1074</v>
      </c>
      <c r="M50" s="529"/>
      <c r="N50" s="25"/>
      <c r="O50" s="29"/>
      <c r="P50" s="29"/>
      <c r="Q50" s="29"/>
    </row>
    <row r="51" spans="1:17" ht="13.5" thickTop="1" x14ac:dyDescent="0.2">
      <c r="A51" s="557"/>
      <c r="B51" s="558"/>
      <c r="C51" s="559"/>
      <c r="D51" s="560"/>
      <c r="E51" s="560"/>
      <c r="H51" s="561"/>
      <c r="I51" s="534"/>
      <c r="J51" s="539"/>
      <c r="K51" s="545"/>
      <c r="L51" s="538"/>
      <c r="M51" s="539"/>
      <c r="N51" s="25"/>
      <c r="O51" s="29"/>
      <c r="P51" s="29"/>
      <c r="Q51" s="29"/>
    </row>
    <row r="52" spans="1:17" x14ac:dyDescent="0.2">
      <c r="A52" s="551">
        <v>5111</v>
      </c>
      <c r="B52" s="540" t="s">
        <v>684</v>
      </c>
      <c r="C52" s="544">
        <v>47211.5</v>
      </c>
      <c r="D52" s="550">
        <v>54648</v>
      </c>
      <c r="E52" s="550">
        <v>56574</v>
      </c>
      <c r="H52" s="543">
        <f>+J9</f>
        <v>67944</v>
      </c>
      <c r="I52" s="569">
        <f>+L9</f>
        <v>113037.00000000001</v>
      </c>
      <c r="J52" s="539">
        <f t="shared" ref="J52:J68" si="3">+I52-H52</f>
        <v>45093.000000000015</v>
      </c>
      <c r="K52" s="545">
        <f t="shared" ref="K52:K60" si="4">IF(H52+I52&lt;&gt;0,IF(H52&lt;&gt;0,IF(J52&lt;&gt;0,ROUND((+J52/H52),4),""),1),"")</f>
        <v>0.66369999999999996</v>
      </c>
      <c r="L52" s="538" t="s">
        <v>1568</v>
      </c>
      <c r="M52" s="539"/>
      <c r="N52" s="25"/>
      <c r="O52" s="29"/>
      <c r="P52" s="29"/>
      <c r="Q52" s="29"/>
    </row>
    <row r="53" spans="1:17" x14ac:dyDescent="0.2">
      <c r="A53" s="551">
        <v>5113</v>
      </c>
      <c r="B53" s="540" t="s">
        <v>685</v>
      </c>
      <c r="C53" s="544">
        <v>12608.24</v>
      </c>
      <c r="D53" s="544">
        <v>14529.42</v>
      </c>
      <c r="E53" s="544">
        <v>15036.46</v>
      </c>
      <c r="H53" s="543">
        <f>+J10</f>
        <v>44558</v>
      </c>
      <c r="I53" s="568">
        <f>+L10</f>
        <v>0</v>
      </c>
      <c r="J53" s="539">
        <f t="shared" si="3"/>
        <v>-44558</v>
      </c>
      <c r="K53" s="545">
        <f t="shared" si="4"/>
        <v>-1</v>
      </c>
      <c r="L53" s="538" t="s">
        <v>1569</v>
      </c>
      <c r="M53" s="539"/>
      <c r="N53" s="25"/>
      <c r="O53" s="29"/>
      <c r="P53" s="29"/>
      <c r="Q53" s="29"/>
    </row>
    <row r="54" spans="1:17" ht="13.5" thickBot="1" x14ac:dyDescent="0.25">
      <c r="A54" s="551">
        <v>5144</v>
      </c>
      <c r="B54" s="540" t="s">
        <v>152</v>
      </c>
      <c r="C54" s="542"/>
      <c r="D54" s="542"/>
      <c r="E54" s="542"/>
      <c r="H54" s="543">
        <f>+J11</f>
        <v>650</v>
      </c>
      <c r="I54" s="569">
        <f>+L11</f>
        <v>500</v>
      </c>
      <c r="J54" s="539">
        <f t="shared" si="3"/>
        <v>-150</v>
      </c>
      <c r="K54" s="545">
        <f t="shared" si="4"/>
        <v>-0.23080000000000001</v>
      </c>
      <c r="L54" s="538" t="s">
        <v>1570</v>
      </c>
      <c r="M54" s="539"/>
      <c r="N54" s="25"/>
      <c r="O54" s="29"/>
      <c r="P54" s="29"/>
      <c r="Q54" s="29"/>
    </row>
    <row r="55" spans="1:17" hidden="1" x14ac:dyDescent="0.2">
      <c r="A55" s="551">
        <v>5247</v>
      </c>
      <c r="B55" s="540" t="s">
        <v>384</v>
      </c>
      <c r="C55" s="544">
        <v>400</v>
      </c>
      <c r="D55" s="544">
        <v>0</v>
      </c>
      <c r="E55" s="544"/>
      <c r="H55" s="537">
        <f t="shared" ref="H55:H68" si="5">+J14</f>
        <v>0</v>
      </c>
      <c r="I55" s="569">
        <f t="shared" ref="I55:I68" si="6">+L14</f>
        <v>0</v>
      </c>
      <c r="J55" s="539">
        <f t="shared" si="3"/>
        <v>0</v>
      </c>
      <c r="K55" s="545" t="str">
        <f t="shared" si="4"/>
        <v/>
      </c>
      <c r="L55" s="538"/>
      <c r="M55" s="539"/>
      <c r="N55" s="25"/>
      <c r="O55" s="29"/>
      <c r="P55" s="29"/>
      <c r="Q55" s="29"/>
    </row>
    <row r="56" spans="1:17" x14ac:dyDescent="0.2">
      <c r="A56" s="551">
        <v>5300</v>
      </c>
      <c r="B56" s="540" t="s">
        <v>1030</v>
      </c>
      <c r="C56" s="544"/>
      <c r="D56" s="544"/>
      <c r="E56" s="544"/>
      <c r="H56" s="537">
        <f t="shared" si="5"/>
        <v>4000</v>
      </c>
      <c r="I56" s="569">
        <f t="shared" si="6"/>
        <v>0</v>
      </c>
      <c r="J56" s="539">
        <f t="shared" si="3"/>
        <v>-4000</v>
      </c>
      <c r="K56" s="545">
        <f t="shared" si="4"/>
        <v>-1</v>
      </c>
      <c r="L56" s="538" t="s">
        <v>1571</v>
      </c>
      <c r="M56" s="539"/>
      <c r="N56" s="25"/>
      <c r="O56" s="29"/>
      <c r="P56" s="29"/>
      <c r="Q56" s="29"/>
    </row>
    <row r="57" spans="1:17" x14ac:dyDescent="0.2">
      <c r="A57" s="551">
        <v>5314</v>
      </c>
      <c r="B57" s="540" t="s">
        <v>134</v>
      </c>
      <c r="C57" s="544">
        <v>465</v>
      </c>
      <c r="D57" s="544">
        <v>190</v>
      </c>
      <c r="E57" s="544">
        <v>299</v>
      </c>
      <c r="H57" s="537">
        <f t="shared" si="5"/>
        <v>450</v>
      </c>
      <c r="I57" s="569">
        <f t="shared" si="6"/>
        <v>1000</v>
      </c>
      <c r="J57" s="539">
        <f t="shared" si="3"/>
        <v>550</v>
      </c>
      <c r="K57" s="545">
        <f t="shared" si="4"/>
        <v>1.2222</v>
      </c>
      <c r="L57" s="538" t="s">
        <v>1572</v>
      </c>
      <c r="M57" s="539"/>
      <c r="N57" s="25"/>
      <c r="O57" s="29"/>
      <c r="P57" s="29"/>
      <c r="Q57" s="29"/>
    </row>
    <row r="58" spans="1:17" hidden="1" x14ac:dyDescent="0.2">
      <c r="A58" s="551">
        <v>5341</v>
      </c>
      <c r="B58" s="540" t="s">
        <v>136</v>
      </c>
      <c r="C58" s="544">
        <v>218.95</v>
      </c>
      <c r="D58" s="544">
        <v>207.97</v>
      </c>
      <c r="E58" s="544">
        <v>210.96</v>
      </c>
      <c r="H58" s="537">
        <f t="shared" si="5"/>
        <v>0</v>
      </c>
      <c r="I58" s="569">
        <f t="shared" si="6"/>
        <v>0</v>
      </c>
      <c r="J58" s="539">
        <f t="shared" si="3"/>
        <v>0</v>
      </c>
      <c r="K58" s="545" t="str">
        <f t="shared" si="4"/>
        <v/>
      </c>
      <c r="L58" s="538"/>
      <c r="M58" s="539"/>
      <c r="N58" s="25"/>
      <c r="O58" s="29"/>
      <c r="P58" s="29"/>
      <c r="Q58" s="29"/>
    </row>
    <row r="59" spans="1:17" x14ac:dyDescent="0.2">
      <c r="A59" s="551">
        <v>5344</v>
      </c>
      <c r="B59" s="540" t="s">
        <v>137</v>
      </c>
      <c r="C59" s="544">
        <v>324.27999999999997</v>
      </c>
      <c r="D59" s="544">
        <v>435.35</v>
      </c>
      <c r="E59" s="544">
        <v>425.43</v>
      </c>
      <c r="H59" s="537">
        <f t="shared" si="5"/>
        <v>550</v>
      </c>
      <c r="I59" s="569">
        <f t="shared" si="6"/>
        <v>550</v>
      </c>
      <c r="J59" s="539">
        <f t="shared" si="3"/>
        <v>0</v>
      </c>
      <c r="K59" s="545" t="str">
        <f t="shared" si="4"/>
        <v/>
      </c>
      <c r="L59" s="538"/>
      <c r="M59" s="539"/>
      <c r="N59" s="25"/>
      <c r="O59" s="29"/>
      <c r="P59" s="29"/>
      <c r="Q59" s="29"/>
    </row>
    <row r="60" spans="1:17" x14ac:dyDescent="0.2">
      <c r="A60" s="551">
        <v>5345</v>
      </c>
      <c r="B60" s="540" t="s">
        <v>138</v>
      </c>
      <c r="C60" s="546">
        <v>1089.3399999999999</v>
      </c>
      <c r="D60" s="546">
        <v>1702.95</v>
      </c>
      <c r="E60" s="546">
        <v>1256.99</v>
      </c>
      <c r="H60" s="537">
        <f t="shared" si="5"/>
        <v>1650</v>
      </c>
      <c r="I60" s="569">
        <f t="shared" si="6"/>
        <v>1650</v>
      </c>
      <c r="J60" s="539">
        <f t="shared" si="3"/>
        <v>0</v>
      </c>
      <c r="K60" s="545" t="str">
        <f t="shared" si="4"/>
        <v/>
      </c>
      <c r="L60" s="538"/>
      <c r="M60" s="539"/>
      <c r="N60" s="25"/>
      <c r="O60" s="29"/>
      <c r="P60" s="29"/>
      <c r="Q60" s="29"/>
    </row>
    <row r="61" spans="1:17" x14ac:dyDescent="0.2">
      <c r="A61" s="551">
        <v>5350</v>
      </c>
      <c r="B61" s="540" t="s">
        <v>1253</v>
      </c>
      <c r="C61" s="546"/>
      <c r="D61" s="546"/>
      <c r="E61" s="546"/>
      <c r="H61" s="537">
        <f t="shared" si="5"/>
        <v>3000</v>
      </c>
      <c r="I61" s="569">
        <f t="shared" si="6"/>
        <v>1500</v>
      </c>
      <c r="J61" s="539"/>
      <c r="K61" s="545"/>
      <c r="L61" s="538"/>
      <c r="M61" s="539"/>
      <c r="N61" s="25"/>
      <c r="O61" s="29"/>
      <c r="P61" s="29"/>
      <c r="Q61" s="29"/>
    </row>
    <row r="62" spans="1:17" x14ac:dyDescent="0.2">
      <c r="A62" s="551">
        <v>5380</v>
      </c>
      <c r="B62" s="540" t="s">
        <v>434</v>
      </c>
      <c r="C62" s="544">
        <v>250</v>
      </c>
      <c r="D62" s="544">
        <v>107.43</v>
      </c>
      <c r="E62" s="544">
        <v>1039</v>
      </c>
      <c r="H62" s="537">
        <f t="shared" si="5"/>
        <v>300</v>
      </c>
      <c r="I62" s="569">
        <f t="shared" si="6"/>
        <v>300</v>
      </c>
      <c r="J62" s="539">
        <f t="shared" si="3"/>
        <v>0</v>
      </c>
      <c r="K62" s="545" t="str">
        <f t="shared" ref="K62:K68" si="7">IF(H62+I62&lt;&gt;0,IF(H62&lt;&gt;0,IF(J62&lt;&gt;0,ROUND((+J62/H62),4),""),1),"")</f>
        <v/>
      </c>
      <c r="L62" s="538"/>
      <c r="M62" s="539"/>
      <c r="N62" s="25"/>
      <c r="O62" s="29"/>
      <c r="P62" s="29"/>
      <c r="Q62" s="29"/>
    </row>
    <row r="63" spans="1:17" x14ac:dyDescent="0.2">
      <c r="A63" s="551">
        <v>5420</v>
      </c>
      <c r="B63" s="540" t="s">
        <v>139</v>
      </c>
      <c r="C63" s="536">
        <v>405.65</v>
      </c>
      <c r="D63" s="536">
        <v>755.61</v>
      </c>
      <c r="E63" s="536">
        <v>524.92999999999995</v>
      </c>
      <c r="H63" s="537">
        <f t="shared" si="5"/>
        <v>750</v>
      </c>
      <c r="I63" s="569">
        <f t="shared" si="6"/>
        <v>750</v>
      </c>
      <c r="J63" s="539">
        <f t="shared" si="3"/>
        <v>0</v>
      </c>
      <c r="K63" s="545" t="str">
        <f t="shared" si="7"/>
        <v/>
      </c>
      <c r="L63" s="538"/>
      <c r="M63" s="539"/>
      <c r="N63" s="25"/>
      <c r="O63" s="29"/>
      <c r="P63" s="29"/>
      <c r="Q63" s="29"/>
    </row>
    <row r="64" spans="1:17" x14ac:dyDescent="0.2">
      <c r="A64" s="551">
        <v>5490</v>
      </c>
      <c r="B64" s="540" t="s">
        <v>23</v>
      </c>
      <c r="C64" s="544">
        <v>141.15</v>
      </c>
      <c r="D64" s="536">
        <v>0</v>
      </c>
      <c r="E64" s="536">
        <v>36.04</v>
      </c>
      <c r="H64" s="537">
        <f t="shared" si="5"/>
        <v>0</v>
      </c>
      <c r="I64" s="569">
        <f t="shared" si="6"/>
        <v>0</v>
      </c>
      <c r="J64" s="539">
        <f t="shared" si="3"/>
        <v>0</v>
      </c>
      <c r="K64" s="545" t="str">
        <f t="shared" si="7"/>
        <v/>
      </c>
      <c r="L64" s="538"/>
      <c r="M64" s="539"/>
      <c r="N64" s="25"/>
      <c r="O64" s="29"/>
      <c r="P64" s="29"/>
      <c r="Q64" s="29"/>
    </row>
    <row r="65" spans="1:17" x14ac:dyDescent="0.2">
      <c r="A65" s="551">
        <v>5581</v>
      </c>
      <c r="B65" s="540" t="s">
        <v>141</v>
      </c>
      <c r="C65" s="544">
        <v>273.77999999999997</v>
      </c>
      <c r="D65" s="544">
        <v>176.8</v>
      </c>
      <c r="E65" s="544">
        <v>258.3</v>
      </c>
      <c r="H65" s="537">
        <f t="shared" si="5"/>
        <v>200</v>
      </c>
      <c r="I65" s="569">
        <f t="shared" si="6"/>
        <v>200</v>
      </c>
      <c r="J65" s="539">
        <f t="shared" si="3"/>
        <v>0</v>
      </c>
      <c r="K65" s="545" t="str">
        <f t="shared" si="7"/>
        <v/>
      </c>
      <c r="L65" s="538"/>
      <c r="M65" s="539"/>
      <c r="N65" s="25"/>
      <c r="O65" s="29"/>
      <c r="P65" s="29"/>
      <c r="Q65" s="29"/>
    </row>
    <row r="66" spans="1:17" x14ac:dyDescent="0.2">
      <c r="A66" s="551">
        <v>5590</v>
      </c>
      <c r="B66" s="563" t="s">
        <v>555</v>
      </c>
      <c r="C66" s="544">
        <v>107.45</v>
      </c>
      <c r="D66" s="544">
        <v>288.33</v>
      </c>
      <c r="E66" s="544"/>
      <c r="H66" s="537">
        <f t="shared" si="5"/>
        <v>350</v>
      </c>
      <c r="I66" s="569">
        <f t="shared" si="6"/>
        <v>350</v>
      </c>
      <c r="J66" s="539">
        <f t="shared" si="3"/>
        <v>0</v>
      </c>
      <c r="K66" s="545" t="str">
        <f t="shared" si="7"/>
        <v/>
      </c>
      <c r="L66" s="538"/>
      <c r="M66" s="539"/>
      <c r="N66" s="25"/>
      <c r="O66" s="4"/>
      <c r="P66" s="4"/>
      <c r="Q66" s="4"/>
    </row>
    <row r="67" spans="1:17" x14ac:dyDescent="0.2">
      <c r="A67" s="551">
        <v>5710</v>
      </c>
      <c r="B67" s="540" t="s">
        <v>529</v>
      </c>
      <c r="C67" s="536">
        <v>399.34</v>
      </c>
      <c r="D67" s="536">
        <v>407.12</v>
      </c>
      <c r="E67" s="536">
        <v>397.89</v>
      </c>
      <c r="H67" s="537">
        <f t="shared" si="5"/>
        <v>450</v>
      </c>
      <c r="I67" s="569">
        <f t="shared" si="6"/>
        <v>900</v>
      </c>
      <c r="J67" s="539">
        <f t="shared" si="3"/>
        <v>450</v>
      </c>
      <c r="K67" s="545">
        <f t="shared" si="7"/>
        <v>1</v>
      </c>
      <c r="L67" s="538" t="s">
        <v>1573</v>
      </c>
      <c r="M67" s="539"/>
      <c r="N67" s="25"/>
      <c r="O67" s="4"/>
      <c r="P67" s="4"/>
      <c r="Q67" s="4"/>
    </row>
    <row r="68" spans="1:17" ht="13.5" thickBot="1" x14ac:dyDescent="0.25">
      <c r="A68" s="551">
        <v>5730</v>
      </c>
      <c r="B68" s="540" t="s">
        <v>142</v>
      </c>
      <c r="C68" s="542">
        <v>401</v>
      </c>
      <c r="D68" s="542">
        <v>594.5</v>
      </c>
      <c r="E68" s="542">
        <v>551</v>
      </c>
      <c r="H68" s="537">
        <f t="shared" si="5"/>
        <v>450</v>
      </c>
      <c r="I68" s="569">
        <f t="shared" si="6"/>
        <v>450</v>
      </c>
      <c r="J68" s="539">
        <f t="shared" si="3"/>
        <v>0</v>
      </c>
      <c r="K68" s="545" t="str">
        <f t="shared" si="7"/>
        <v/>
      </c>
      <c r="L68" s="538"/>
      <c r="M68" s="539"/>
      <c r="N68" s="25"/>
      <c r="O68" s="4"/>
      <c r="P68" s="4"/>
      <c r="Q68" s="4"/>
    </row>
    <row r="69" spans="1:17" x14ac:dyDescent="0.2">
      <c r="A69" s="4"/>
      <c r="B69" s="4"/>
      <c r="C69" s="25"/>
      <c r="D69" s="25"/>
      <c r="E69" s="25"/>
      <c r="F69" s="25"/>
      <c r="G69" s="25"/>
      <c r="H69" s="25"/>
      <c r="I69" s="25"/>
      <c r="J69" s="25"/>
      <c r="K69" s="4"/>
      <c r="L69" s="25"/>
      <c r="M69" s="25"/>
      <c r="N69" s="25"/>
      <c r="O69" s="4"/>
      <c r="P69" s="4"/>
      <c r="Q69" s="4"/>
    </row>
    <row r="70" spans="1:17" x14ac:dyDescent="0.2">
      <c r="A70" s="4"/>
      <c r="B70" s="4" t="s">
        <v>1600</v>
      </c>
      <c r="C70" s="25"/>
      <c r="D70" s="25"/>
      <c r="E70" s="25"/>
      <c r="F70" s="25"/>
      <c r="G70" s="25"/>
      <c r="H70" s="849">
        <f>SUM(H52:H68)</f>
        <v>125302</v>
      </c>
      <c r="I70" s="849">
        <f>SUM(I52:I68)</f>
        <v>121187.00000000001</v>
      </c>
      <c r="J70" s="208">
        <f t="shared" ref="J70" si="8">+I70-H70</f>
        <v>-4114.9999999999854</v>
      </c>
      <c r="K70" s="850">
        <f t="shared" ref="K70" si="9">IF(H70+I70&lt;&gt;0,IF(H70&lt;&gt;0,IF(J70&lt;&gt;0,ROUND((+J70/H70),4),""),1),"")</f>
        <v>-3.2800000000000003E-2</v>
      </c>
      <c r="L70" s="25"/>
      <c r="M70" s="25"/>
      <c r="N70" s="25"/>
      <c r="O70" s="4"/>
      <c r="P70" s="4"/>
      <c r="Q70" s="4"/>
    </row>
    <row r="71" spans="1:17" x14ac:dyDescent="0.2">
      <c r="A71" s="4"/>
      <c r="B71" s="4"/>
      <c r="C71" s="25"/>
      <c r="D71" s="25"/>
      <c r="E71" s="25"/>
      <c r="F71" s="25"/>
      <c r="G71" s="25"/>
      <c r="H71" s="25"/>
      <c r="I71" s="25"/>
      <c r="J71" s="25"/>
      <c r="K71" s="4"/>
      <c r="L71" s="25"/>
      <c r="M71" s="25"/>
      <c r="N71" s="25"/>
      <c r="O71" s="4"/>
      <c r="P71" s="4"/>
      <c r="Q71" s="4"/>
    </row>
    <row r="72" spans="1:17" x14ac:dyDescent="0.2">
      <c r="A72" s="4"/>
      <c r="B72" s="4"/>
      <c r="C72" s="25"/>
      <c r="D72" s="25"/>
      <c r="E72" s="25"/>
      <c r="F72" s="25"/>
      <c r="G72" s="25"/>
      <c r="H72" s="25"/>
      <c r="I72" s="25"/>
      <c r="J72" s="25"/>
      <c r="K72" s="4"/>
      <c r="L72" s="25"/>
      <c r="M72" s="25"/>
      <c r="N72" s="25"/>
      <c r="O72" s="4"/>
      <c r="P72" s="4"/>
      <c r="Q72" s="4"/>
    </row>
    <row r="73" spans="1:17" x14ac:dyDescent="0.2">
      <c r="A73" s="4"/>
      <c r="B73" s="4"/>
      <c r="C73" s="25"/>
      <c r="D73" s="25"/>
      <c r="E73" s="25"/>
      <c r="F73" s="25"/>
      <c r="G73" s="25"/>
      <c r="H73" s="25"/>
      <c r="I73" s="25"/>
      <c r="J73" s="25"/>
      <c r="K73" s="4"/>
      <c r="L73" s="25"/>
      <c r="M73" s="25"/>
      <c r="N73" s="25"/>
      <c r="O73" s="4"/>
      <c r="P73" s="4"/>
      <c r="Q73" s="4"/>
    </row>
    <row r="74" spans="1:17" x14ac:dyDescent="0.2">
      <c r="A74" s="4"/>
      <c r="B74" s="4"/>
      <c r="C74" s="25"/>
      <c r="D74" s="25"/>
      <c r="E74" s="25"/>
      <c r="F74" s="25"/>
      <c r="G74" s="25"/>
      <c r="H74" s="25"/>
      <c r="I74" s="25"/>
      <c r="J74" s="25"/>
      <c r="K74" s="4"/>
      <c r="L74" s="25"/>
      <c r="M74" s="25"/>
      <c r="N74" s="25"/>
      <c r="O74" s="4"/>
      <c r="P74" s="4"/>
      <c r="Q74" s="4"/>
    </row>
    <row r="75" spans="1:17" x14ac:dyDescent="0.2">
      <c r="A75" s="4"/>
      <c r="B75" s="4"/>
      <c r="C75" s="25"/>
      <c r="D75" s="25"/>
      <c r="E75" s="25"/>
      <c r="F75" s="25"/>
      <c r="G75" s="25"/>
      <c r="H75" s="25"/>
      <c r="I75" s="25"/>
      <c r="J75" s="25"/>
      <c r="K75" s="4"/>
      <c r="L75" s="25"/>
      <c r="M75" s="25"/>
      <c r="N75" s="25"/>
      <c r="O75" s="4"/>
      <c r="P75" s="4"/>
      <c r="Q75" s="4"/>
    </row>
    <row r="76" spans="1:17" x14ac:dyDescent="0.2">
      <c r="A76" s="4"/>
      <c r="B76" s="4"/>
      <c r="C76" s="25"/>
      <c r="D76" s="25"/>
      <c r="E76" s="25"/>
      <c r="F76" s="25"/>
      <c r="G76" s="25"/>
      <c r="H76" s="25"/>
      <c r="I76" s="25"/>
      <c r="J76" s="25"/>
      <c r="K76" s="4"/>
      <c r="L76" s="25"/>
      <c r="M76" s="25"/>
      <c r="N76" s="25"/>
      <c r="O76" s="4"/>
      <c r="P76" s="4"/>
      <c r="Q76" s="4"/>
    </row>
    <row r="77" spans="1:17" x14ac:dyDescent="0.2">
      <c r="A77" s="4"/>
      <c r="B77" s="4"/>
      <c r="C77" s="25"/>
      <c r="D77" s="25"/>
      <c r="E77" s="25"/>
      <c r="F77" s="25"/>
      <c r="G77" s="25"/>
      <c r="H77" s="25"/>
      <c r="I77" s="25"/>
      <c r="J77" s="25"/>
      <c r="K77" s="4"/>
      <c r="L77" s="25"/>
      <c r="M77" s="25"/>
      <c r="N77" s="25"/>
      <c r="O77" s="4"/>
      <c r="P77" s="4"/>
      <c r="Q77" s="4"/>
    </row>
    <row r="78" spans="1:17" x14ac:dyDescent="0.2">
      <c r="A78" s="4"/>
      <c r="B78" s="4"/>
      <c r="C78" s="25"/>
      <c r="D78" s="25"/>
      <c r="E78" s="25"/>
      <c r="F78" s="25"/>
      <c r="G78" s="25"/>
      <c r="H78" s="25"/>
      <c r="I78" s="25"/>
      <c r="J78" s="25"/>
      <c r="K78" s="4"/>
      <c r="L78" s="25"/>
      <c r="M78" s="25"/>
      <c r="N78" s="25"/>
      <c r="O78" s="4"/>
      <c r="P78" s="4"/>
      <c r="Q78" s="4"/>
    </row>
    <row r="79" spans="1:17" x14ac:dyDescent="0.2">
      <c r="A79" s="4"/>
      <c r="B79" s="4"/>
      <c r="C79" s="25"/>
      <c r="D79" s="25"/>
      <c r="E79" s="25"/>
      <c r="F79" s="25"/>
      <c r="G79" s="25"/>
      <c r="H79" s="25"/>
      <c r="I79" s="25"/>
      <c r="J79" s="25"/>
      <c r="K79" s="4"/>
      <c r="L79" s="25"/>
      <c r="M79" s="25"/>
      <c r="N79" s="25"/>
      <c r="O79" s="4"/>
      <c r="P79" s="4"/>
      <c r="Q79" s="4"/>
    </row>
    <row r="80" spans="1:17" x14ac:dyDescent="0.2">
      <c r="A80" s="4"/>
      <c r="B80" s="4"/>
      <c r="C80" s="25"/>
      <c r="D80" s="25"/>
      <c r="E80" s="25"/>
      <c r="F80" s="25"/>
      <c r="G80" s="25"/>
      <c r="H80" s="25"/>
      <c r="I80" s="25"/>
      <c r="J80" s="25"/>
      <c r="K80" s="4"/>
      <c r="L80" s="25"/>
      <c r="M80" s="25"/>
      <c r="N80" s="25"/>
      <c r="O80" s="4"/>
      <c r="P80" s="4"/>
      <c r="Q80" s="4"/>
    </row>
    <row r="81" spans="1:17" x14ac:dyDescent="0.2">
      <c r="A81" s="4"/>
      <c r="B81" s="4"/>
      <c r="C81" s="25"/>
      <c r="D81" s="25"/>
      <c r="E81" s="25"/>
      <c r="F81" s="25"/>
      <c r="G81" s="25"/>
      <c r="H81" s="25"/>
      <c r="I81" s="25"/>
      <c r="J81" s="25"/>
      <c r="K81" s="4"/>
      <c r="L81" s="25"/>
      <c r="M81" s="25"/>
      <c r="N81" s="25"/>
      <c r="O81" s="4"/>
      <c r="P81" s="4"/>
      <c r="Q81" s="4"/>
    </row>
    <row r="82" spans="1:17" x14ac:dyDescent="0.2">
      <c r="A82" s="4"/>
      <c r="B82" s="4"/>
      <c r="C82" s="25"/>
      <c r="D82" s="25"/>
      <c r="E82" s="25"/>
      <c r="F82" s="25"/>
      <c r="G82" s="25"/>
      <c r="H82" s="25"/>
      <c r="I82" s="25"/>
      <c r="J82" s="25"/>
      <c r="K82" s="4"/>
      <c r="L82" s="25"/>
      <c r="M82" s="25"/>
      <c r="N82" s="25"/>
      <c r="O82" s="4"/>
      <c r="P82" s="4"/>
      <c r="Q82" s="4"/>
    </row>
    <row r="83" spans="1:17" x14ac:dyDescent="0.2">
      <c r="A83" s="4"/>
      <c r="B83" s="4"/>
      <c r="C83" s="25"/>
      <c r="D83" s="25"/>
      <c r="E83" s="25"/>
      <c r="F83" s="25"/>
      <c r="G83" s="25"/>
      <c r="H83" s="25"/>
      <c r="I83" s="25"/>
      <c r="J83" s="25"/>
      <c r="K83" s="4"/>
      <c r="L83" s="25"/>
      <c r="M83" s="25"/>
      <c r="N83" s="25"/>
      <c r="O83" s="4"/>
      <c r="P83" s="4"/>
      <c r="Q83" s="4"/>
    </row>
    <row r="84" spans="1:17" x14ac:dyDescent="0.2">
      <c r="A84" s="4"/>
      <c r="B84" s="4"/>
      <c r="C84" s="25"/>
      <c r="D84" s="25"/>
      <c r="E84" s="25"/>
      <c r="F84" s="25"/>
      <c r="G84" s="25"/>
      <c r="H84" s="25"/>
      <c r="I84" s="25"/>
      <c r="J84" s="25"/>
      <c r="K84" s="4"/>
      <c r="L84" s="25"/>
      <c r="M84" s="25"/>
      <c r="N84" s="25"/>
      <c r="O84" s="4"/>
      <c r="P84" s="4"/>
      <c r="Q84" s="4"/>
    </row>
    <row r="85" spans="1:17" x14ac:dyDescent="0.2">
      <c r="A85" s="4"/>
      <c r="B85" s="4"/>
      <c r="C85" s="25"/>
      <c r="D85" s="25"/>
      <c r="E85" s="25"/>
      <c r="F85" s="25"/>
      <c r="G85" s="25"/>
      <c r="H85" s="25"/>
      <c r="I85" s="25"/>
      <c r="J85" s="25"/>
      <c r="K85" s="4"/>
      <c r="L85" s="25"/>
      <c r="M85" s="25"/>
      <c r="N85" s="25"/>
      <c r="O85" s="4"/>
      <c r="P85" s="4"/>
      <c r="Q85" s="4"/>
    </row>
    <row r="86" spans="1:17" x14ac:dyDescent="0.2">
      <c r="A86" s="4"/>
      <c r="B86" s="4"/>
      <c r="C86" s="25"/>
      <c r="D86" s="25"/>
      <c r="E86" s="25"/>
      <c r="F86" s="25"/>
      <c r="G86" s="25"/>
      <c r="H86" s="25"/>
      <c r="I86" s="25"/>
      <c r="J86" s="25"/>
      <c r="K86" s="4"/>
      <c r="L86" s="25"/>
      <c r="M86" s="25"/>
      <c r="N86" s="25"/>
      <c r="O86" s="4"/>
      <c r="P86" s="4"/>
      <c r="Q86" s="4"/>
    </row>
    <row r="87" spans="1:17" x14ac:dyDescent="0.2">
      <c r="A87" s="4"/>
      <c r="B87" s="4"/>
      <c r="C87" s="25"/>
      <c r="D87" s="25"/>
      <c r="E87" s="25"/>
      <c r="F87" s="25"/>
      <c r="G87" s="25"/>
      <c r="H87" s="25"/>
      <c r="I87" s="25"/>
      <c r="J87" s="25"/>
      <c r="K87" s="4"/>
      <c r="L87" s="25"/>
      <c r="M87" s="25"/>
      <c r="N87" s="25"/>
      <c r="O87" s="4"/>
      <c r="P87" s="4"/>
      <c r="Q87" s="4"/>
    </row>
    <row r="88" spans="1:17" x14ac:dyDescent="0.2">
      <c r="A88" s="4"/>
      <c r="B88" s="4"/>
      <c r="C88" s="25"/>
      <c r="D88" s="25"/>
      <c r="E88" s="25"/>
      <c r="F88" s="25"/>
      <c r="G88" s="25"/>
      <c r="H88" s="25"/>
      <c r="I88" s="25"/>
      <c r="J88" s="25"/>
      <c r="K88" s="4"/>
      <c r="L88" s="25"/>
      <c r="M88" s="25"/>
      <c r="N88" s="25"/>
      <c r="O88" s="4"/>
      <c r="P88" s="4"/>
      <c r="Q88" s="4"/>
    </row>
    <row r="89" spans="1:17" x14ac:dyDescent="0.2">
      <c r="A89" s="4"/>
      <c r="B89" s="4"/>
      <c r="C89" s="25"/>
      <c r="D89" s="25"/>
      <c r="E89" s="25"/>
      <c r="F89" s="25"/>
      <c r="G89" s="25"/>
      <c r="H89" s="25"/>
      <c r="I89" s="25"/>
      <c r="J89" s="25"/>
      <c r="K89" s="4"/>
      <c r="L89" s="25"/>
      <c r="M89" s="25"/>
      <c r="N89" s="25"/>
      <c r="O89" s="4"/>
      <c r="P89" s="4"/>
      <c r="Q89" s="4"/>
    </row>
    <row r="90" spans="1:17" x14ac:dyDescent="0.2">
      <c r="A90" s="4"/>
      <c r="B90" s="4"/>
      <c r="C90" s="25"/>
      <c r="D90" s="25"/>
      <c r="E90" s="25"/>
      <c r="F90" s="25"/>
      <c r="G90" s="25"/>
      <c r="H90" s="25"/>
      <c r="I90" s="25"/>
      <c r="J90" s="25"/>
      <c r="K90" s="4"/>
      <c r="L90" s="25"/>
      <c r="M90" s="25"/>
      <c r="N90" s="25"/>
      <c r="O90" s="4"/>
      <c r="P90" s="4"/>
      <c r="Q90" s="4"/>
    </row>
    <row r="91" spans="1:17" x14ac:dyDescent="0.2">
      <c r="A91" s="4"/>
      <c r="B91" s="4"/>
      <c r="C91" s="25"/>
      <c r="D91" s="25"/>
      <c r="E91" s="25"/>
      <c r="F91" s="25"/>
      <c r="G91" s="25"/>
      <c r="H91" s="25"/>
      <c r="I91" s="25"/>
      <c r="J91" s="25"/>
      <c r="K91" s="4"/>
      <c r="L91" s="25"/>
      <c r="M91" s="25"/>
      <c r="N91" s="25"/>
      <c r="O91" s="4"/>
      <c r="P91" s="4"/>
      <c r="Q91" s="4"/>
    </row>
    <row r="92" spans="1:17" x14ac:dyDescent="0.2">
      <c r="A92" s="4"/>
      <c r="B92" s="4"/>
      <c r="C92" s="25"/>
      <c r="D92" s="25"/>
      <c r="E92" s="25"/>
      <c r="F92" s="25"/>
      <c r="G92" s="25"/>
      <c r="H92" s="25"/>
      <c r="I92" s="25"/>
      <c r="J92" s="25"/>
      <c r="K92" s="4"/>
      <c r="L92" s="25"/>
      <c r="M92" s="25"/>
      <c r="N92" s="25"/>
      <c r="O92" s="4"/>
      <c r="P92" s="4"/>
      <c r="Q92" s="4"/>
    </row>
    <row r="93" spans="1:17" x14ac:dyDescent="0.2">
      <c r="A93" s="4"/>
      <c r="B93" s="4"/>
      <c r="C93" s="25"/>
      <c r="D93" s="25"/>
      <c r="E93" s="25"/>
      <c r="F93" s="25"/>
      <c r="G93" s="25"/>
      <c r="H93" s="25"/>
      <c r="I93" s="25"/>
      <c r="J93" s="25"/>
      <c r="K93" s="4"/>
      <c r="L93" s="25"/>
      <c r="M93" s="25"/>
      <c r="N93" s="25"/>
      <c r="O93" s="4"/>
      <c r="P93" s="4"/>
      <c r="Q93" s="4"/>
    </row>
    <row r="94" spans="1:17" x14ac:dyDescent="0.2">
      <c r="A94" s="4"/>
      <c r="B94" s="4"/>
      <c r="C94" s="25"/>
      <c r="D94" s="25"/>
      <c r="E94" s="25"/>
      <c r="F94" s="25"/>
      <c r="G94" s="25"/>
      <c r="H94" s="25"/>
      <c r="I94" s="25"/>
      <c r="J94" s="25"/>
      <c r="K94" s="4"/>
      <c r="L94" s="25"/>
      <c r="M94" s="25"/>
      <c r="N94" s="25"/>
      <c r="O94" s="4"/>
      <c r="P94" s="4"/>
      <c r="Q94" s="4"/>
    </row>
    <row r="95" spans="1:17" x14ac:dyDescent="0.2">
      <c r="A95" s="4"/>
      <c r="B95" s="4"/>
      <c r="C95" s="25"/>
      <c r="D95" s="25"/>
      <c r="E95" s="25"/>
      <c r="F95" s="25"/>
      <c r="G95" s="25"/>
      <c r="H95" s="25"/>
      <c r="I95" s="25"/>
      <c r="J95" s="25"/>
      <c r="K95" s="4"/>
      <c r="L95" s="25"/>
      <c r="M95" s="25"/>
      <c r="N95" s="25"/>
      <c r="O95" s="4"/>
      <c r="P95" s="4"/>
      <c r="Q95" s="4"/>
    </row>
    <row r="96" spans="1:17" x14ac:dyDescent="0.2">
      <c r="A96" s="4"/>
      <c r="B96" s="4"/>
      <c r="C96" s="25"/>
      <c r="D96" s="25"/>
      <c r="E96" s="25"/>
      <c r="F96" s="25"/>
      <c r="G96" s="25"/>
      <c r="H96" s="25"/>
      <c r="I96" s="25"/>
      <c r="J96" s="25"/>
      <c r="K96" s="4"/>
      <c r="L96" s="25"/>
      <c r="M96" s="25"/>
      <c r="N96" s="25"/>
      <c r="O96" s="4"/>
      <c r="P96" s="4"/>
      <c r="Q96" s="4"/>
    </row>
    <row r="97" spans="1:17" x14ac:dyDescent="0.2">
      <c r="A97" s="4"/>
      <c r="B97" s="4"/>
      <c r="C97" s="25"/>
      <c r="D97" s="25"/>
      <c r="E97" s="25"/>
      <c r="F97" s="25"/>
      <c r="G97" s="25"/>
      <c r="H97" s="25"/>
      <c r="I97" s="25"/>
      <c r="J97" s="25"/>
      <c r="K97" s="4"/>
      <c r="L97" s="25"/>
      <c r="M97" s="25"/>
      <c r="N97" s="25"/>
      <c r="O97" s="4"/>
      <c r="P97" s="4"/>
      <c r="Q97" s="4"/>
    </row>
    <row r="98" spans="1:17" x14ac:dyDescent="0.2">
      <c r="A98" s="4"/>
      <c r="B98" s="4"/>
      <c r="C98" s="25"/>
      <c r="D98" s="25"/>
      <c r="E98" s="25"/>
      <c r="F98" s="25"/>
      <c r="G98" s="25"/>
      <c r="H98" s="25"/>
      <c r="I98" s="25"/>
      <c r="J98" s="25"/>
      <c r="K98" s="4"/>
      <c r="L98" s="25"/>
      <c r="M98" s="25"/>
      <c r="N98" s="25"/>
      <c r="O98" s="4"/>
      <c r="P98" s="4"/>
      <c r="Q98" s="4"/>
    </row>
    <row r="99" spans="1:17" x14ac:dyDescent="0.2">
      <c r="A99" s="4"/>
      <c r="B99" s="4"/>
      <c r="C99" s="25"/>
      <c r="D99" s="25"/>
      <c r="E99" s="25"/>
      <c r="F99" s="25"/>
      <c r="G99" s="25"/>
      <c r="H99" s="25"/>
      <c r="I99" s="25"/>
      <c r="J99" s="25"/>
      <c r="K99" s="4"/>
      <c r="L99" s="25"/>
      <c r="M99" s="25"/>
      <c r="N99" s="25"/>
      <c r="O99" s="4"/>
      <c r="P99" s="4"/>
      <c r="Q99" s="4"/>
    </row>
    <row r="100" spans="1:17" x14ac:dyDescent="0.2">
      <c r="A100" s="4"/>
      <c r="B100" s="4"/>
      <c r="C100" s="25"/>
      <c r="D100" s="25"/>
      <c r="E100" s="25"/>
      <c r="F100" s="25"/>
      <c r="G100" s="25"/>
      <c r="H100" s="25"/>
      <c r="I100" s="25"/>
      <c r="J100" s="25"/>
      <c r="K100" s="4"/>
      <c r="L100" s="25"/>
      <c r="M100" s="25"/>
      <c r="N100" s="25"/>
      <c r="O100" s="4"/>
      <c r="P100" s="4"/>
      <c r="Q100" s="4"/>
    </row>
    <row r="101" spans="1:17" x14ac:dyDescent="0.2">
      <c r="A101" s="4"/>
      <c r="B101" s="4"/>
      <c r="C101" s="25"/>
      <c r="D101" s="25"/>
      <c r="E101" s="25"/>
      <c r="F101" s="25"/>
      <c r="G101" s="25"/>
      <c r="H101" s="25"/>
      <c r="I101" s="25"/>
      <c r="J101" s="25"/>
      <c r="K101" s="4"/>
      <c r="L101" s="25"/>
      <c r="M101" s="25"/>
      <c r="N101" s="25"/>
      <c r="O101" s="4"/>
      <c r="P101" s="4"/>
      <c r="Q101" s="4"/>
    </row>
    <row r="102" spans="1:17" x14ac:dyDescent="0.2">
      <c r="A102" s="4"/>
      <c r="B102" s="4"/>
      <c r="C102" s="25"/>
      <c r="D102" s="25"/>
      <c r="E102" s="25"/>
      <c r="F102" s="25"/>
      <c r="G102" s="25"/>
      <c r="H102" s="25"/>
      <c r="I102" s="25"/>
      <c r="J102" s="25"/>
      <c r="K102" s="4"/>
      <c r="L102" s="25"/>
      <c r="M102" s="25"/>
      <c r="N102" s="25"/>
      <c r="O102" s="4"/>
      <c r="P102" s="4"/>
      <c r="Q102" s="4"/>
    </row>
    <row r="103" spans="1:17" x14ac:dyDescent="0.2">
      <c r="A103" s="4"/>
      <c r="B103" s="4"/>
      <c r="C103" s="25"/>
      <c r="D103" s="25"/>
      <c r="E103" s="25"/>
      <c r="F103" s="25"/>
      <c r="G103" s="25"/>
      <c r="H103" s="25"/>
      <c r="I103" s="25"/>
      <c r="J103" s="25"/>
      <c r="K103" s="4"/>
      <c r="L103" s="25"/>
      <c r="M103" s="25"/>
      <c r="N103" s="25"/>
      <c r="O103" s="4"/>
      <c r="P103" s="4"/>
      <c r="Q103" s="4"/>
    </row>
    <row r="104" spans="1:17" x14ac:dyDescent="0.2">
      <c r="A104" s="4"/>
      <c r="B104" s="4"/>
      <c r="C104" s="25"/>
      <c r="D104" s="25"/>
      <c r="E104" s="25"/>
      <c r="F104" s="25"/>
      <c r="G104" s="25"/>
      <c r="H104" s="25"/>
      <c r="I104" s="25"/>
      <c r="J104" s="25"/>
      <c r="K104" s="4"/>
      <c r="L104" s="25"/>
      <c r="M104" s="25"/>
      <c r="N104" s="25"/>
      <c r="O104" s="4"/>
      <c r="P104" s="4"/>
      <c r="Q104" s="4"/>
    </row>
    <row r="105" spans="1:17" x14ac:dyDescent="0.2">
      <c r="A105" s="4"/>
      <c r="B105" s="4"/>
      <c r="C105" s="25"/>
      <c r="D105" s="25"/>
      <c r="E105" s="25"/>
      <c r="F105" s="25"/>
      <c r="G105" s="25"/>
      <c r="H105" s="25"/>
      <c r="I105" s="25"/>
      <c r="J105" s="25"/>
      <c r="K105" s="4"/>
      <c r="L105" s="25"/>
      <c r="M105" s="25"/>
      <c r="N105" s="25"/>
      <c r="O105" s="4"/>
      <c r="P105" s="4"/>
      <c r="Q105" s="4"/>
    </row>
    <row r="106" spans="1:17" x14ac:dyDescent="0.2">
      <c r="A106" s="4"/>
      <c r="B106" s="4"/>
      <c r="C106" s="25"/>
      <c r="D106" s="25"/>
      <c r="E106" s="25"/>
      <c r="F106" s="25"/>
      <c r="G106" s="25"/>
      <c r="H106" s="25"/>
      <c r="I106" s="25"/>
      <c r="J106" s="25"/>
      <c r="K106" s="4"/>
      <c r="L106" s="25"/>
      <c r="M106" s="25"/>
      <c r="N106" s="25"/>
      <c r="O106" s="4"/>
      <c r="P106" s="4"/>
      <c r="Q106" s="4"/>
    </row>
    <row r="107" spans="1:17" x14ac:dyDescent="0.2">
      <c r="A107" s="4"/>
      <c r="B107" s="4"/>
      <c r="C107" s="25"/>
      <c r="D107" s="25"/>
      <c r="E107" s="25"/>
      <c r="F107" s="25"/>
      <c r="G107" s="25"/>
      <c r="H107" s="25"/>
      <c r="I107" s="25"/>
      <c r="J107" s="25"/>
      <c r="K107" s="4"/>
      <c r="L107" s="25"/>
      <c r="M107" s="25"/>
      <c r="N107" s="25"/>
      <c r="O107" s="4"/>
      <c r="P107" s="4"/>
      <c r="Q107" s="4"/>
    </row>
    <row r="108" spans="1:17" x14ac:dyDescent="0.2">
      <c r="A108" s="4"/>
      <c r="B108" s="4"/>
      <c r="C108" s="25"/>
      <c r="D108" s="25"/>
      <c r="E108" s="25"/>
      <c r="F108" s="25"/>
      <c r="G108" s="25"/>
      <c r="H108" s="25"/>
      <c r="I108" s="25"/>
      <c r="J108" s="25"/>
      <c r="K108" s="4"/>
      <c r="L108" s="25"/>
      <c r="M108" s="25"/>
      <c r="N108" s="25"/>
      <c r="O108" s="4"/>
      <c r="P108" s="4"/>
      <c r="Q108" s="4"/>
    </row>
    <row r="109" spans="1:17" x14ac:dyDescent="0.2">
      <c r="A109" s="4"/>
      <c r="B109" s="4"/>
      <c r="C109" s="25"/>
      <c r="D109" s="25"/>
      <c r="E109" s="25"/>
      <c r="F109" s="25"/>
      <c r="G109" s="25"/>
      <c r="H109" s="25"/>
      <c r="I109" s="25"/>
      <c r="J109" s="25"/>
      <c r="K109" s="4"/>
      <c r="L109" s="25"/>
      <c r="M109" s="25"/>
      <c r="N109" s="25"/>
      <c r="O109" s="4"/>
      <c r="P109" s="4"/>
      <c r="Q109" s="4"/>
    </row>
    <row r="110" spans="1:17" x14ac:dyDescent="0.2">
      <c r="A110" s="4"/>
      <c r="B110" s="4"/>
      <c r="C110" s="25"/>
      <c r="D110" s="25"/>
      <c r="E110" s="25"/>
      <c r="F110" s="25"/>
      <c r="G110" s="25"/>
      <c r="H110" s="25"/>
      <c r="I110" s="25"/>
      <c r="J110" s="25"/>
      <c r="K110" s="4"/>
      <c r="L110" s="25"/>
      <c r="M110" s="25"/>
      <c r="N110" s="25"/>
      <c r="O110" s="4"/>
      <c r="P110" s="4"/>
      <c r="Q110" s="4"/>
    </row>
    <row r="111" spans="1:17" x14ac:dyDescent="0.2">
      <c r="A111" s="4"/>
      <c r="B111" s="4"/>
      <c r="C111" s="25"/>
      <c r="D111" s="25"/>
      <c r="E111" s="25"/>
      <c r="F111" s="25"/>
      <c r="G111" s="25"/>
      <c r="H111" s="25"/>
      <c r="I111" s="25"/>
      <c r="J111" s="25"/>
      <c r="K111" s="4"/>
      <c r="L111" s="25"/>
      <c r="M111" s="25"/>
      <c r="N111" s="25"/>
      <c r="O111" s="4"/>
      <c r="P111" s="4"/>
      <c r="Q111" s="4"/>
    </row>
    <row r="112" spans="1:17" x14ac:dyDescent="0.2">
      <c r="A112" s="4"/>
      <c r="B112" s="4"/>
      <c r="C112" s="25"/>
      <c r="D112" s="25"/>
      <c r="E112" s="25"/>
      <c r="F112" s="25"/>
      <c r="G112" s="25"/>
      <c r="H112" s="25"/>
      <c r="I112" s="25"/>
      <c r="J112" s="25"/>
      <c r="K112" s="4"/>
      <c r="L112" s="25"/>
      <c r="M112" s="25"/>
      <c r="N112" s="25"/>
      <c r="O112" s="4"/>
      <c r="P112" s="4"/>
      <c r="Q112" s="4"/>
    </row>
    <row r="113" spans="1:17" x14ac:dyDescent="0.2">
      <c r="A113" s="4"/>
      <c r="B113" s="4"/>
      <c r="C113" s="25"/>
      <c r="D113" s="25"/>
      <c r="E113" s="25"/>
      <c r="F113" s="25"/>
      <c r="G113" s="25"/>
      <c r="H113" s="25"/>
      <c r="I113" s="25"/>
      <c r="J113" s="25"/>
      <c r="K113" s="4"/>
      <c r="L113" s="25"/>
      <c r="M113" s="25"/>
      <c r="N113" s="25"/>
      <c r="O113" s="4"/>
      <c r="P113" s="4"/>
      <c r="Q113" s="4"/>
    </row>
    <row r="114" spans="1:17" x14ac:dyDescent="0.2">
      <c r="A114" s="4"/>
      <c r="B114" s="4"/>
      <c r="C114" s="25"/>
      <c r="D114" s="25"/>
      <c r="E114" s="25"/>
      <c r="F114" s="25"/>
      <c r="G114" s="25"/>
      <c r="H114" s="25"/>
      <c r="I114" s="25"/>
      <c r="J114" s="25"/>
      <c r="K114" s="4"/>
      <c r="L114" s="25"/>
      <c r="M114" s="25"/>
      <c r="N114" s="25"/>
      <c r="O114" s="4"/>
      <c r="P114" s="4"/>
      <c r="Q114" s="4"/>
    </row>
    <row r="115" spans="1:17" x14ac:dyDescent="0.2">
      <c r="A115" s="4"/>
      <c r="B115" s="4"/>
      <c r="C115" s="25"/>
      <c r="D115" s="25"/>
      <c r="E115" s="25"/>
      <c r="F115" s="25"/>
      <c r="G115" s="25"/>
      <c r="H115" s="25"/>
      <c r="I115" s="25"/>
      <c r="J115" s="25"/>
      <c r="K115" s="4"/>
      <c r="L115" s="25"/>
      <c r="M115" s="25"/>
      <c r="N115" s="25"/>
      <c r="O115" s="4"/>
      <c r="P115" s="4"/>
      <c r="Q115" s="4"/>
    </row>
    <row r="116" spans="1:17" x14ac:dyDescent="0.2">
      <c r="A116" s="4"/>
      <c r="B116" s="4"/>
      <c r="C116" s="25"/>
      <c r="D116" s="25"/>
      <c r="E116" s="25"/>
      <c r="F116" s="25"/>
      <c r="G116" s="25"/>
      <c r="H116" s="25"/>
      <c r="I116" s="25"/>
      <c r="J116" s="25"/>
      <c r="K116" s="4"/>
      <c r="L116" s="25"/>
      <c r="M116" s="25"/>
      <c r="N116" s="25"/>
      <c r="O116" s="4"/>
      <c r="P116" s="4"/>
      <c r="Q116" s="4"/>
    </row>
    <row r="117" spans="1:17" x14ac:dyDescent="0.2">
      <c r="A117" s="4"/>
      <c r="B117" s="4"/>
      <c r="C117" s="25"/>
      <c r="D117" s="25"/>
      <c r="E117" s="25"/>
      <c r="F117" s="25"/>
      <c r="G117" s="25"/>
      <c r="H117" s="25"/>
      <c r="I117" s="25"/>
      <c r="J117" s="25"/>
      <c r="K117" s="4"/>
      <c r="L117" s="25"/>
      <c r="M117" s="25"/>
      <c r="N117" s="25"/>
      <c r="O117" s="4"/>
      <c r="P117" s="4"/>
      <c r="Q117" s="4"/>
    </row>
    <row r="118" spans="1:17" x14ac:dyDescent="0.2">
      <c r="A118" s="4"/>
      <c r="B118" s="4"/>
      <c r="C118" s="25"/>
      <c r="D118" s="25"/>
      <c r="E118" s="25"/>
      <c r="F118" s="25"/>
      <c r="G118" s="25"/>
      <c r="H118" s="25"/>
      <c r="I118" s="25"/>
      <c r="J118" s="25"/>
      <c r="K118" s="4"/>
      <c r="L118" s="25"/>
      <c r="M118" s="25"/>
      <c r="N118" s="25"/>
      <c r="O118" s="4"/>
      <c r="P118" s="4"/>
      <c r="Q118" s="4"/>
    </row>
    <row r="119" spans="1:17" x14ac:dyDescent="0.2">
      <c r="A119" s="4"/>
      <c r="B119" s="4"/>
      <c r="C119" s="25"/>
      <c r="D119" s="25"/>
      <c r="E119" s="25"/>
      <c r="F119" s="25"/>
      <c r="G119" s="25"/>
      <c r="H119" s="25"/>
      <c r="I119" s="25"/>
      <c r="J119" s="25"/>
      <c r="K119" s="4"/>
      <c r="L119" s="25"/>
      <c r="M119" s="25"/>
      <c r="N119" s="25"/>
      <c r="O119" s="4"/>
      <c r="P119" s="4"/>
      <c r="Q119" s="4"/>
    </row>
    <row r="120" spans="1:17" x14ac:dyDescent="0.2">
      <c r="C120" s="121"/>
    </row>
    <row r="121" spans="1:17" x14ac:dyDescent="0.2">
      <c r="C121" s="121"/>
    </row>
    <row r="122" spans="1:17" x14ac:dyDescent="0.2">
      <c r="C122" s="121"/>
    </row>
    <row r="123" spans="1:17" x14ac:dyDescent="0.2">
      <c r="C123" s="121"/>
    </row>
    <row r="124" spans="1:17" x14ac:dyDescent="0.2">
      <c r="C124" s="121"/>
    </row>
    <row r="125" spans="1:17" x14ac:dyDescent="0.2">
      <c r="C125" s="121"/>
    </row>
    <row r="126" spans="1:17" x14ac:dyDescent="0.2">
      <c r="C126" s="121"/>
    </row>
    <row r="127" spans="1:17" x14ac:dyDescent="0.2">
      <c r="C127" s="121"/>
    </row>
    <row r="128" spans="1:17"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2" orientation="landscape" horizontalDpi="300" verticalDpi="300" r:id="rId1"/>
  <headerFooter alignWithMargins="0">
    <oddFooter>&amp;L&amp;D     &amp;T&amp;C&amp;F&amp;R&amp;A</oddFooter>
  </headerFooter>
  <rowBreaks count="1" manualBreakCount="1">
    <brk id="31"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5"/>
  <sheetViews>
    <sheetView zoomScale="85" workbookViewId="0">
      <pane ySplit="7" topLeftCell="A8" activePane="bottomLeft" state="frozen"/>
      <selection activeCell="K15" sqref="K15"/>
      <selection pane="bottomLeft" activeCell="K15" sqref="K15"/>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254</v>
      </c>
      <c r="B2" s="49"/>
      <c r="E2" s="153"/>
      <c r="H2" s="153" t="s">
        <v>252</v>
      </c>
      <c r="I2" s="153"/>
      <c r="J2" s="153"/>
      <c r="K2" s="67" t="s">
        <v>355</v>
      </c>
      <c r="M2" s="50" t="s">
        <v>478</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122"/>
      <c r="B8" s="218"/>
      <c r="C8" s="821"/>
      <c r="D8" s="143"/>
      <c r="E8" s="143"/>
      <c r="F8" s="143"/>
      <c r="G8" s="143"/>
      <c r="H8" s="143"/>
      <c r="I8" s="123"/>
      <c r="J8" s="123"/>
      <c r="K8" s="143"/>
      <c r="L8" s="123"/>
      <c r="M8" s="123"/>
    </row>
    <row r="9" spans="1:16" x14ac:dyDescent="0.2">
      <c r="A9" s="12">
        <v>5308</v>
      </c>
      <c r="B9" s="69" t="s">
        <v>153</v>
      </c>
      <c r="C9" s="140"/>
      <c r="D9" s="14">
        <v>0</v>
      </c>
      <c r="E9" s="14"/>
      <c r="F9" s="14"/>
      <c r="G9" s="14"/>
      <c r="H9" s="14"/>
      <c r="I9" s="14"/>
      <c r="J9" s="15">
        <v>300</v>
      </c>
      <c r="K9" s="14"/>
      <c r="L9" s="15">
        <v>300</v>
      </c>
      <c r="M9" s="15"/>
    </row>
    <row r="10" spans="1:16" x14ac:dyDescent="0.2">
      <c r="A10" s="12">
        <v>5314</v>
      </c>
      <c r="B10" s="69" t="s">
        <v>134</v>
      </c>
      <c r="C10" s="140"/>
      <c r="D10" s="14">
        <v>0</v>
      </c>
      <c r="E10" s="14">
        <v>40</v>
      </c>
      <c r="F10" s="14"/>
      <c r="G10" s="14"/>
      <c r="H10" s="14"/>
      <c r="I10" s="14"/>
      <c r="J10" s="15">
        <v>100</v>
      </c>
      <c r="K10" s="14"/>
      <c r="L10" s="15">
        <v>100</v>
      </c>
      <c r="M10" s="15"/>
    </row>
    <row r="11" spans="1:16" x14ac:dyDescent="0.2">
      <c r="A11" s="12">
        <v>5344</v>
      </c>
      <c r="B11" s="69" t="s">
        <v>137</v>
      </c>
      <c r="C11" s="140">
        <v>318.62</v>
      </c>
      <c r="D11" s="14">
        <v>175.36</v>
      </c>
      <c r="E11" s="14">
        <v>215.24</v>
      </c>
      <c r="F11" s="14">
        <v>205.9</v>
      </c>
      <c r="G11" s="14">
        <v>198.64</v>
      </c>
      <c r="H11" s="14">
        <v>372.54</v>
      </c>
      <c r="I11" s="14">
        <v>173.23</v>
      </c>
      <c r="J11" s="15">
        <v>350</v>
      </c>
      <c r="K11" s="156"/>
      <c r="L11" s="15">
        <v>350</v>
      </c>
      <c r="M11" s="15"/>
    </row>
    <row r="12" spans="1:16" x14ac:dyDescent="0.2">
      <c r="A12" s="12">
        <v>5345</v>
      </c>
      <c r="B12" s="69" t="s">
        <v>138</v>
      </c>
      <c r="C12" s="140">
        <v>3015</v>
      </c>
      <c r="D12" s="14">
        <v>884.56</v>
      </c>
      <c r="E12" s="14">
        <v>911.4</v>
      </c>
      <c r="F12" s="14">
        <v>1548.87</v>
      </c>
      <c r="G12" s="14">
        <v>1881.72</v>
      </c>
      <c r="H12" s="14">
        <v>2242.96</v>
      </c>
      <c r="I12" s="14">
        <v>269.26</v>
      </c>
      <c r="J12" s="15"/>
      <c r="K12" s="14">
        <v>354.3</v>
      </c>
      <c r="L12" s="15"/>
      <c r="M12" s="15"/>
    </row>
    <row r="13" spans="1:16" x14ac:dyDescent="0.2">
      <c r="A13" s="12">
        <v>5420</v>
      </c>
      <c r="B13" s="69" t="s">
        <v>139</v>
      </c>
      <c r="C13" s="142">
        <v>103.4</v>
      </c>
      <c r="D13" s="19">
        <v>19.78</v>
      </c>
      <c r="E13" s="19">
        <v>71.92</v>
      </c>
      <c r="F13" s="19">
        <v>448.91</v>
      </c>
      <c r="G13" s="19">
        <v>6.5</v>
      </c>
      <c r="H13" s="19">
        <v>450</v>
      </c>
      <c r="I13" s="19">
        <v>168.99</v>
      </c>
      <c r="J13" s="20">
        <v>450</v>
      </c>
      <c r="K13" s="19"/>
      <c r="L13" s="20">
        <v>450</v>
      </c>
      <c r="M13" s="20"/>
    </row>
    <row r="14" spans="1:16" ht="13.5" thickBot="1" x14ac:dyDescent="0.25">
      <c r="A14" s="12">
        <v>5730</v>
      </c>
      <c r="B14" s="69" t="s">
        <v>142</v>
      </c>
      <c r="C14" s="820"/>
      <c r="D14" s="41">
        <v>0</v>
      </c>
      <c r="E14" s="41"/>
      <c r="F14" s="41"/>
      <c r="G14" s="41"/>
      <c r="H14" s="41"/>
      <c r="I14" s="41"/>
      <c r="J14" s="42"/>
      <c r="K14" s="41"/>
      <c r="L14" s="42"/>
      <c r="M14" s="42"/>
    </row>
    <row r="15" spans="1:16" x14ac:dyDescent="0.2">
      <c r="A15" s="12"/>
      <c r="B15" s="70" t="s">
        <v>442</v>
      </c>
      <c r="C15" s="142">
        <f t="shared" ref="C15:K15" si="0">SUM(C9:C14)</f>
        <v>3437.02</v>
      </c>
      <c r="D15" s="19">
        <f t="shared" si="0"/>
        <v>1079.7</v>
      </c>
      <c r="E15" s="19">
        <f t="shared" si="0"/>
        <v>1238.56</v>
      </c>
      <c r="F15" s="19">
        <f>SUM(F9:F14)</f>
        <v>2203.6799999999998</v>
      </c>
      <c r="G15" s="19">
        <f>SUM(G9:G14)</f>
        <v>2086.86</v>
      </c>
      <c r="H15" s="19">
        <f>SUM(H9:H14)</f>
        <v>3065.5</v>
      </c>
      <c r="I15" s="19">
        <f t="shared" si="0"/>
        <v>611.48</v>
      </c>
      <c r="J15" s="134">
        <f>SUM(J9:J14)</f>
        <v>1200</v>
      </c>
      <c r="K15" s="19">
        <f t="shared" si="0"/>
        <v>354.3</v>
      </c>
      <c r="L15" s="134">
        <f>SUM(L9:L14)</f>
        <v>1200</v>
      </c>
      <c r="M15" s="134">
        <f>SUM(M9:M14)</f>
        <v>0</v>
      </c>
    </row>
    <row r="16" spans="1:16" x14ac:dyDescent="0.2">
      <c r="A16" s="12"/>
      <c r="B16" s="69"/>
      <c r="C16" s="140"/>
      <c r="D16" s="14"/>
      <c r="E16" s="14"/>
      <c r="F16" s="14"/>
      <c r="G16" s="14"/>
      <c r="H16" s="14"/>
      <c r="I16" s="14"/>
      <c r="J16" s="44"/>
      <c r="K16" s="14"/>
      <c r="L16" s="44"/>
      <c r="M16" s="44"/>
    </row>
    <row r="17" spans="1:16" x14ac:dyDescent="0.2">
      <c r="A17" s="12"/>
      <c r="B17" s="69"/>
      <c r="C17" s="140"/>
      <c r="D17" s="14"/>
      <c r="E17" s="14"/>
      <c r="F17" s="14"/>
      <c r="G17" s="14"/>
      <c r="H17" s="14"/>
      <c r="I17" s="14"/>
      <c r="J17" s="44"/>
      <c r="K17" s="14"/>
      <c r="L17" s="44"/>
      <c r="M17" s="44"/>
    </row>
    <row r="18" spans="1:16" ht="13.5" thickBot="1" x14ac:dyDescent="0.25">
      <c r="A18" s="21"/>
      <c r="B18" s="825" t="s">
        <v>448</v>
      </c>
      <c r="C18" s="816">
        <f t="shared" ref="C18:L18" si="1">+C15</f>
        <v>3437.02</v>
      </c>
      <c r="D18" s="23">
        <f t="shared" si="1"/>
        <v>1079.7</v>
      </c>
      <c r="E18" s="23">
        <f t="shared" si="1"/>
        <v>1238.56</v>
      </c>
      <c r="F18" s="23">
        <f>+F15</f>
        <v>2203.6799999999998</v>
      </c>
      <c r="G18" s="23">
        <f>+G15</f>
        <v>2086.86</v>
      </c>
      <c r="H18" s="23">
        <f>+H15</f>
        <v>3065.5</v>
      </c>
      <c r="I18" s="23">
        <f t="shared" si="1"/>
        <v>611.48</v>
      </c>
      <c r="J18" s="43">
        <f t="shared" ref="J18" si="2">+J15</f>
        <v>1200</v>
      </c>
      <c r="K18" s="23">
        <f t="shared" si="1"/>
        <v>354.3</v>
      </c>
      <c r="L18" s="43">
        <f t="shared" si="1"/>
        <v>1200</v>
      </c>
      <c r="M18" s="43">
        <f>+L18</f>
        <v>1200</v>
      </c>
    </row>
    <row r="19" spans="1:16" ht="13.5" thickTop="1" x14ac:dyDescent="0.2">
      <c r="A19" s="4"/>
      <c r="B19" s="4"/>
      <c r="C19" s="26"/>
      <c r="D19" s="26"/>
      <c r="E19" s="26"/>
      <c r="F19" s="26"/>
      <c r="G19" s="26"/>
      <c r="H19" s="26"/>
      <c r="I19" s="26"/>
      <c r="J19" s="26"/>
      <c r="K19" s="27"/>
      <c r="L19" s="26"/>
      <c r="M19" s="25"/>
      <c r="N19" s="27"/>
      <c r="O19" s="27"/>
      <c r="P19" s="27"/>
    </row>
    <row r="20" spans="1:16" ht="13.5" thickBot="1" x14ac:dyDescent="0.25">
      <c r="A20" s="72">
        <v>43788</v>
      </c>
      <c r="B20" s="4" t="s">
        <v>1486</v>
      </c>
      <c r="C20" s="25"/>
      <c r="D20" s="25"/>
      <c r="E20" s="25"/>
      <c r="F20" s="25"/>
      <c r="G20" s="25"/>
      <c r="H20" s="25"/>
      <c r="I20" s="25"/>
      <c r="J20" s="25"/>
      <c r="K20" s="29"/>
      <c r="L20" s="25"/>
      <c r="M20" s="29"/>
      <c r="N20" s="29"/>
      <c r="O20" s="29"/>
      <c r="P20" s="29"/>
    </row>
    <row r="21" spans="1:16" ht="13.5" thickTop="1" x14ac:dyDescent="0.2">
      <c r="A21" s="517"/>
      <c r="B21" s="518"/>
      <c r="C21" s="519" t="s">
        <v>122</v>
      </c>
      <c r="D21" s="520" t="s">
        <v>122</v>
      </c>
      <c r="E21" s="520" t="s">
        <v>122</v>
      </c>
      <c r="H21" s="521" t="s">
        <v>542</v>
      </c>
      <c r="I21" s="522" t="s">
        <v>9</v>
      </c>
      <c r="J21" s="523" t="s">
        <v>1073</v>
      </c>
      <c r="K21" s="522" t="s">
        <v>682</v>
      </c>
      <c r="L21" s="524"/>
      <c r="M21" s="523"/>
      <c r="N21" s="27"/>
      <c r="O21" s="27"/>
      <c r="P21" s="27"/>
    </row>
    <row r="22" spans="1:16" ht="13.5" thickBot="1" x14ac:dyDescent="0.25">
      <c r="A22" s="525" t="s">
        <v>123</v>
      </c>
      <c r="B22" s="526"/>
      <c r="C22" s="527" t="s">
        <v>334</v>
      </c>
      <c r="D22" s="527" t="s">
        <v>718</v>
      </c>
      <c r="E22" s="528" t="s">
        <v>734</v>
      </c>
      <c r="H22" s="529" t="s">
        <v>899</v>
      </c>
      <c r="I22" s="529" t="s">
        <v>900</v>
      </c>
      <c r="J22" s="528" t="s">
        <v>1075</v>
      </c>
      <c r="K22" s="530" t="s">
        <v>1075</v>
      </c>
      <c r="L22" s="531" t="s">
        <v>1074</v>
      </c>
      <c r="M22" s="529"/>
      <c r="N22" s="29"/>
      <c r="O22" s="29"/>
      <c r="P22" s="29"/>
    </row>
    <row r="23" spans="1:16" ht="13.5" thickTop="1" x14ac:dyDescent="0.2">
      <c r="A23" s="564"/>
      <c r="B23" s="565"/>
      <c r="C23" s="562"/>
      <c r="D23" s="562"/>
      <c r="E23" s="562"/>
      <c r="H23" s="566"/>
      <c r="I23" s="730"/>
      <c r="J23" s="539"/>
      <c r="K23" s="545"/>
      <c r="L23" s="538"/>
      <c r="M23" s="539"/>
      <c r="N23" s="29"/>
      <c r="O23" s="29"/>
      <c r="P23" s="29"/>
    </row>
    <row r="24" spans="1:16" x14ac:dyDescent="0.2">
      <c r="A24" s="551">
        <v>5308</v>
      </c>
      <c r="B24" s="540" t="s">
        <v>153</v>
      </c>
      <c r="C24" s="544"/>
      <c r="D24" s="544">
        <v>0</v>
      </c>
      <c r="E24" s="544"/>
      <c r="H24" s="543">
        <f>J9</f>
        <v>300</v>
      </c>
      <c r="I24" s="569">
        <f t="shared" ref="I24:I29" si="3">+L9</f>
        <v>300</v>
      </c>
      <c r="J24" s="539">
        <f t="shared" ref="J24:J29" si="4">+I24-H24</f>
        <v>0</v>
      </c>
      <c r="K24" s="545" t="str">
        <f t="shared" ref="K24:K29" si="5">IF(H24+I24&lt;&gt;0,IF(H24&lt;&gt;0,IF(J24&lt;&gt;0,ROUND((+J24/H24),4),""),1),"")</f>
        <v/>
      </c>
      <c r="L24" s="538"/>
      <c r="M24" s="539"/>
      <c r="N24" s="29"/>
      <c r="O24" s="29"/>
      <c r="P24" s="29"/>
    </row>
    <row r="25" spans="1:16" x14ac:dyDescent="0.2">
      <c r="A25" s="551">
        <v>5314</v>
      </c>
      <c r="B25" s="540" t="s">
        <v>134</v>
      </c>
      <c r="C25" s="544"/>
      <c r="D25" s="544">
        <v>0</v>
      </c>
      <c r="E25" s="544">
        <v>40</v>
      </c>
      <c r="H25" s="543">
        <f t="shared" ref="H25:H29" si="6">J10</f>
        <v>100</v>
      </c>
      <c r="I25" s="569">
        <f t="shared" si="3"/>
        <v>100</v>
      </c>
      <c r="J25" s="539">
        <f t="shared" si="4"/>
        <v>0</v>
      </c>
      <c r="K25" s="545" t="str">
        <f t="shared" si="5"/>
        <v/>
      </c>
      <c r="L25" s="538"/>
      <c r="M25" s="539"/>
      <c r="N25" s="29"/>
      <c r="O25" s="29"/>
      <c r="P25" s="29"/>
    </row>
    <row r="26" spans="1:16" x14ac:dyDescent="0.2">
      <c r="A26" s="551">
        <v>5344</v>
      </c>
      <c r="B26" s="540" t="s">
        <v>137</v>
      </c>
      <c r="C26" s="544">
        <v>318.62</v>
      </c>
      <c r="D26" s="544">
        <v>175.36</v>
      </c>
      <c r="E26" s="544">
        <v>215.24</v>
      </c>
      <c r="H26" s="543">
        <f t="shared" si="6"/>
        <v>350</v>
      </c>
      <c r="I26" s="569">
        <f t="shared" si="3"/>
        <v>350</v>
      </c>
      <c r="J26" s="539">
        <f t="shared" si="4"/>
        <v>0</v>
      </c>
      <c r="K26" s="545" t="str">
        <f t="shared" si="5"/>
        <v/>
      </c>
      <c r="L26" s="538"/>
      <c r="M26" s="539"/>
      <c r="N26" s="29"/>
      <c r="O26" s="29"/>
      <c r="P26" s="29"/>
    </row>
    <row r="27" spans="1:16" x14ac:dyDescent="0.2">
      <c r="A27" s="551">
        <v>5345</v>
      </c>
      <c r="B27" s="540" t="s">
        <v>138</v>
      </c>
      <c r="C27" s="544">
        <v>3015</v>
      </c>
      <c r="D27" s="544">
        <v>884.56</v>
      </c>
      <c r="E27" s="544">
        <v>911.4</v>
      </c>
      <c r="H27" s="543">
        <f t="shared" si="6"/>
        <v>0</v>
      </c>
      <c r="I27" s="569">
        <f t="shared" si="3"/>
        <v>0</v>
      </c>
      <c r="J27" s="539">
        <f t="shared" si="4"/>
        <v>0</v>
      </c>
      <c r="K27" s="545" t="str">
        <f t="shared" si="5"/>
        <v/>
      </c>
      <c r="L27" s="538"/>
      <c r="M27" s="539"/>
      <c r="N27" s="29"/>
      <c r="O27" s="29"/>
      <c r="P27" s="29"/>
    </row>
    <row r="28" spans="1:16" x14ac:dyDescent="0.2">
      <c r="A28" s="551">
        <v>5420</v>
      </c>
      <c r="B28" s="540" t="s">
        <v>139</v>
      </c>
      <c r="C28" s="536">
        <v>103.4</v>
      </c>
      <c r="D28" s="536">
        <v>19.78</v>
      </c>
      <c r="E28" s="536">
        <v>71.92</v>
      </c>
      <c r="H28" s="543">
        <f t="shared" si="6"/>
        <v>450</v>
      </c>
      <c r="I28" s="569">
        <f t="shared" si="3"/>
        <v>450</v>
      </c>
      <c r="J28" s="539">
        <f t="shared" si="4"/>
        <v>0</v>
      </c>
      <c r="K28" s="545" t="str">
        <f t="shared" si="5"/>
        <v/>
      </c>
      <c r="L28" s="538"/>
      <c r="M28" s="539"/>
      <c r="N28" s="29"/>
      <c r="O28" s="29"/>
      <c r="P28" s="29"/>
    </row>
    <row r="29" spans="1:16" ht="13.5" thickBot="1" x14ac:dyDescent="0.25">
      <c r="A29" s="551">
        <v>5730</v>
      </c>
      <c r="B29" s="540" t="s">
        <v>142</v>
      </c>
      <c r="C29" s="567"/>
      <c r="D29" s="567">
        <v>0</v>
      </c>
      <c r="E29" s="567"/>
      <c r="H29" s="543">
        <f t="shared" si="6"/>
        <v>0</v>
      </c>
      <c r="I29" s="569">
        <f t="shared" si="3"/>
        <v>0</v>
      </c>
      <c r="J29" s="539">
        <f t="shared" si="4"/>
        <v>0</v>
      </c>
      <c r="K29" s="545" t="str">
        <f t="shared" si="5"/>
        <v/>
      </c>
      <c r="L29" s="538"/>
      <c r="M29" s="539"/>
      <c r="N29" s="29"/>
      <c r="O29" s="29"/>
      <c r="P29" s="29"/>
    </row>
    <row r="30" spans="1:16" x14ac:dyDescent="0.2">
      <c r="A30" s="4"/>
      <c r="B30" s="4"/>
      <c r="C30" s="25"/>
      <c r="D30" s="25"/>
      <c r="E30" s="25"/>
      <c r="F30" s="25"/>
      <c r="G30" s="25"/>
      <c r="H30" s="25"/>
      <c r="I30" s="25"/>
      <c r="J30" s="25"/>
      <c r="K30" s="29"/>
      <c r="L30" s="25"/>
      <c r="M30" s="25"/>
      <c r="N30" s="29"/>
      <c r="O30" s="29"/>
      <c r="P30" s="29"/>
    </row>
    <row r="31" spans="1:16" x14ac:dyDescent="0.2">
      <c r="A31" s="4"/>
      <c r="B31" s="4" t="s">
        <v>1600</v>
      </c>
      <c r="C31" s="25"/>
      <c r="D31" s="25"/>
      <c r="E31" s="25"/>
      <c r="F31" s="25"/>
      <c r="G31" s="25"/>
      <c r="H31" s="849">
        <f>SUM(H20:H30)</f>
        <v>1200</v>
      </c>
      <c r="I31" s="849">
        <f>SUM(I20:I30)</f>
        <v>1200</v>
      </c>
      <c r="J31" s="208">
        <f t="shared" ref="J31" si="7">+I31-H31</f>
        <v>0</v>
      </c>
      <c r="K31" s="850" t="str">
        <f t="shared" ref="K31" si="8">IF(H31+I31&lt;&gt;0,IF(H31&lt;&gt;0,IF(J31&lt;&gt;0,ROUND((+J31/H31),4),""),1),"")</f>
        <v/>
      </c>
      <c r="L31" s="25"/>
      <c r="M31" s="25"/>
      <c r="N31" s="29"/>
      <c r="O31" s="29"/>
      <c r="P31" s="29"/>
    </row>
    <row r="32" spans="1:16" x14ac:dyDescent="0.2">
      <c r="A32" s="4"/>
      <c r="B32" s="4"/>
      <c r="C32" s="25"/>
      <c r="D32" s="25"/>
      <c r="E32" s="25"/>
      <c r="F32" s="25"/>
      <c r="G32" s="25"/>
      <c r="H32" s="25"/>
      <c r="I32" s="25"/>
      <c r="J32" s="25"/>
      <c r="K32" s="29"/>
      <c r="L32" s="25"/>
      <c r="M32" s="25"/>
      <c r="N32" s="29"/>
      <c r="O32" s="29"/>
      <c r="P32" s="29"/>
    </row>
    <row r="33" spans="1:16" x14ac:dyDescent="0.2">
      <c r="A33" s="4"/>
      <c r="B33" s="4"/>
      <c r="C33" s="25"/>
      <c r="D33" s="25"/>
      <c r="E33" s="25"/>
      <c r="F33" s="25"/>
      <c r="G33" s="25"/>
      <c r="H33" s="25"/>
      <c r="I33" s="25"/>
      <c r="J33" s="25"/>
      <c r="K33" s="29"/>
      <c r="L33" s="25"/>
      <c r="M33" s="25"/>
      <c r="N33" s="29"/>
      <c r="O33" s="29"/>
      <c r="P33" s="29"/>
    </row>
    <row r="34" spans="1:16" x14ac:dyDescent="0.2">
      <c r="A34" s="4"/>
      <c r="B34" s="4"/>
      <c r="C34" s="25"/>
      <c r="D34" s="25"/>
      <c r="E34" s="25"/>
      <c r="F34" s="25"/>
      <c r="G34" s="25"/>
      <c r="H34" s="25"/>
      <c r="I34" s="25"/>
      <c r="J34" s="25"/>
      <c r="K34" s="29"/>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9"/>
      <c r="L42" s="25"/>
      <c r="M42" s="25"/>
      <c r="N42" s="29"/>
      <c r="O42" s="29"/>
      <c r="P42" s="29"/>
    </row>
    <row r="43" spans="1:16" x14ac:dyDescent="0.2">
      <c r="A43" s="4"/>
      <c r="B43" s="4"/>
      <c r="C43" s="25"/>
      <c r="D43" s="25"/>
      <c r="E43" s="25"/>
      <c r="F43" s="25"/>
      <c r="G43" s="25"/>
      <c r="H43" s="25"/>
      <c r="I43" s="25"/>
      <c r="J43" s="25"/>
      <c r="K43" s="29"/>
      <c r="L43" s="25"/>
      <c r="M43" s="25"/>
      <c r="N43" s="29"/>
      <c r="O43" s="29"/>
      <c r="P43" s="29"/>
    </row>
    <row r="44" spans="1:16" x14ac:dyDescent="0.2">
      <c r="A44" s="4"/>
      <c r="B44" s="4"/>
      <c r="C44" s="25"/>
      <c r="D44" s="25"/>
      <c r="E44" s="25"/>
      <c r="F44" s="25"/>
      <c r="G44" s="25"/>
      <c r="H44" s="25"/>
      <c r="I44" s="25"/>
      <c r="J44" s="25"/>
      <c r="K44" s="29"/>
      <c r="L44" s="25"/>
      <c r="M44" s="25"/>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c r="C46" s="25"/>
      <c r="D46" s="25"/>
      <c r="E46" s="25"/>
      <c r="F46" s="25"/>
      <c r="G46" s="25"/>
      <c r="H46" s="25"/>
      <c r="I46" s="25"/>
      <c r="J46" s="25"/>
      <c r="K46" s="29"/>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29"/>
      <c r="L50" s="25"/>
      <c r="M50" s="25"/>
      <c r="N50" s="29"/>
      <c r="O50" s="29"/>
      <c r="P50" s="29"/>
    </row>
    <row r="51" spans="1:16" x14ac:dyDescent="0.2">
      <c r="A51" s="4"/>
      <c r="B51" s="4"/>
      <c r="C51" s="25"/>
      <c r="D51" s="25"/>
      <c r="E51" s="25"/>
      <c r="F51" s="25"/>
      <c r="G51" s="25"/>
      <c r="H51" s="25"/>
      <c r="I51" s="25"/>
      <c r="J51" s="25"/>
      <c r="K51" s="29"/>
      <c r="L51" s="25"/>
      <c r="M51" s="25"/>
      <c r="N51" s="29"/>
      <c r="O51" s="29"/>
      <c r="P51" s="29"/>
    </row>
    <row r="52" spans="1:16" x14ac:dyDescent="0.2">
      <c r="A52" s="4"/>
      <c r="B52" s="4"/>
      <c r="C52" s="25"/>
      <c r="D52" s="25"/>
      <c r="E52" s="25"/>
      <c r="F52" s="25"/>
      <c r="G52" s="25"/>
      <c r="H52" s="25"/>
      <c r="I52" s="25"/>
      <c r="J52" s="25"/>
      <c r="K52" s="29"/>
      <c r="L52" s="25"/>
      <c r="M52" s="25"/>
      <c r="N52" s="29"/>
      <c r="O52" s="29"/>
      <c r="P52" s="29"/>
    </row>
    <row r="53" spans="1:16" x14ac:dyDescent="0.2">
      <c r="A53" s="4"/>
      <c r="B53" s="4"/>
      <c r="C53" s="25"/>
      <c r="D53" s="25"/>
      <c r="E53" s="25"/>
      <c r="F53" s="25"/>
      <c r="G53" s="25"/>
      <c r="H53" s="25"/>
      <c r="I53" s="25"/>
      <c r="J53" s="25"/>
      <c r="K53" s="29"/>
      <c r="L53" s="25"/>
      <c r="M53" s="25"/>
      <c r="N53" s="29"/>
      <c r="O53" s="29"/>
      <c r="P53" s="29"/>
    </row>
    <row r="54" spans="1:16" x14ac:dyDescent="0.2">
      <c r="A54" s="4"/>
      <c r="B54" s="4"/>
      <c r="C54" s="25"/>
      <c r="D54" s="25"/>
      <c r="E54" s="25"/>
      <c r="F54" s="25"/>
      <c r="G54" s="25"/>
      <c r="H54" s="25"/>
      <c r="I54" s="25"/>
      <c r="J54" s="25"/>
      <c r="K54" s="29"/>
      <c r="L54" s="25"/>
      <c r="M54" s="25"/>
      <c r="N54" s="29"/>
      <c r="O54" s="29"/>
      <c r="P54" s="29"/>
    </row>
    <row r="55" spans="1:16" x14ac:dyDescent="0.2">
      <c r="A55" s="4"/>
      <c r="B55" s="4"/>
      <c r="C55" s="25"/>
      <c r="D55" s="25"/>
      <c r="E55" s="25"/>
      <c r="F55" s="25"/>
      <c r="G55" s="25"/>
      <c r="H55" s="25"/>
      <c r="I55" s="25"/>
      <c r="J55" s="25"/>
      <c r="K55" s="29"/>
      <c r="L55" s="25"/>
      <c r="M55" s="25"/>
      <c r="N55" s="29"/>
      <c r="O55" s="29"/>
      <c r="P55" s="29"/>
    </row>
    <row r="56" spans="1:16" x14ac:dyDescent="0.2">
      <c r="A56" s="4"/>
      <c r="B56" s="4"/>
      <c r="C56" s="25"/>
      <c r="D56" s="25"/>
      <c r="E56" s="25"/>
      <c r="F56" s="25"/>
      <c r="G56" s="25"/>
      <c r="H56" s="25"/>
      <c r="I56" s="25"/>
      <c r="J56" s="25"/>
      <c r="K56" s="29"/>
      <c r="L56" s="25"/>
      <c r="M56" s="25"/>
      <c r="N56" s="29"/>
      <c r="O56" s="29"/>
      <c r="P56" s="29"/>
    </row>
    <row r="57" spans="1:16" x14ac:dyDescent="0.2">
      <c r="A57" s="4"/>
      <c r="B57" s="4"/>
      <c r="C57" s="25"/>
      <c r="D57" s="25"/>
      <c r="E57" s="25"/>
      <c r="F57" s="25"/>
      <c r="G57" s="25"/>
      <c r="H57" s="25"/>
      <c r="I57" s="25"/>
      <c r="J57" s="25"/>
      <c r="K57" s="29"/>
      <c r="L57" s="25"/>
      <c r="M57" s="25"/>
      <c r="N57" s="29"/>
      <c r="O57" s="29"/>
      <c r="P57" s="29"/>
    </row>
    <row r="58" spans="1:16" x14ac:dyDescent="0.2">
      <c r="A58" s="4"/>
      <c r="B58" s="4"/>
      <c r="C58" s="25"/>
      <c r="D58" s="25"/>
      <c r="E58" s="25"/>
      <c r="F58" s="25"/>
      <c r="G58" s="25"/>
      <c r="H58" s="25"/>
      <c r="I58" s="25"/>
      <c r="J58" s="25"/>
      <c r="K58" s="29"/>
      <c r="L58" s="25"/>
      <c r="M58" s="25"/>
      <c r="N58" s="29"/>
      <c r="O58" s="29"/>
      <c r="P58" s="29"/>
    </row>
    <row r="59" spans="1:16" x14ac:dyDescent="0.2">
      <c r="A59" s="4"/>
      <c r="B59" s="4"/>
      <c r="C59" s="25"/>
      <c r="D59" s="25"/>
      <c r="E59" s="25"/>
      <c r="F59" s="25"/>
      <c r="G59" s="25"/>
      <c r="H59" s="25"/>
      <c r="I59" s="25"/>
      <c r="J59" s="25"/>
      <c r="K59" s="29"/>
      <c r="L59" s="25"/>
      <c r="M59" s="25"/>
      <c r="N59" s="29"/>
      <c r="O59" s="29"/>
      <c r="P59" s="29"/>
    </row>
    <row r="60" spans="1:16" x14ac:dyDescent="0.2">
      <c r="A60" s="4"/>
      <c r="B60" s="4"/>
      <c r="C60" s="25"/>
      <c r="D60" s="25"/>
      <c r="E60" s="25"/>
      <c r="F60" s="25"/>
      <c r="G60" s="25"/>
      <c r="H60" s="25"/>
      <c r="I60" s="25"/>
      <c r="J60" s="25"/>
      <c r="K60" s="29"/>
      <c r="L60" s="25"/>
      <c r="M60" s="25"/>
      <c r="N60" s="29"/>
      <c r="O60" s="29"/>
      <c r="P60" s="29"/>
    </row>
    <row r="61" spans="1:16" x14ac:dyDescent="0.2">
      <c r="A61" s="4"/>
      <c r="B61" s="4"/>
      <c r="C61" s="25"/>
      <c r="D61" s="25"/>
      <c r="E61" s="25"/>
      <c r="F61" s="25"/>
      <c r="G61" s="25"/>
      <c r="H61" s="25"/>
      <c r="I61" s="25"/>
      <c r="J61" s="25"/>
      <c r="K61" s="29"/>
      <c r="L61" s="25"/>
      <c r="M61" s="25"/>
      <c r="N61" s="29"/>
      <c r="O61" s="29"/>
      <c r="P61" s="29"/>
    </row>
    <row r="62" spans="1:16" x14ac:dyDescent="0.2">
      <c r="A62" s="4"/>
      <c r="B62" s="4"/>
      <c r="C62" s="25"/>
      <c r="D62" s="25"/>
      <c r="E62" s="25"/>
      <c r="F62" s="25"/>
      <c r="G62" s="25"/>
      <c r="H62" s="25"/>
      <c r="I62" s="25"/>
      <c r="J62" s="25"/>
      <c r="K62" s="29"/>
      <c r="L62" s="25"/>
      <c r="M62" s="25"/>
      <c r="N62" s="29"/>
      <c r="O62" s="29"/>
      <c r="P62" s="29"/>
    </row>
    <row r="63" spans="1:16" x14ac:dyDescent="0.2">
      <c r="A63" s="4"/>
      <c r="B63" s="4"/>
      <c r="C63" s="25"/>
      <c r="D63" s="25"/>
      <c r="E63" s="25"/>
      <c r="F63" s="25"/>
      <c r="G63" s="25"/>
      <c r="H63" s="25"/>
      <c r="I63" s="25"/>
      <c r="J63" s="25"/>
      <c r="K63" s="29"/>
      <c r="L63" s="25"/>
      <c r="M63" s="25"/>
      <c r="N63" s="29"/>
      <c r="O63" s="29"/>
      <c r="P63" s="29"/>
    </row>
    <row r="64" spans="1:16" x14ac:dyDescent="0.2">
      <c r="A64" s="4"/>
      <c r="B64" s="4"/>
      <c r="C64" s="25"/>
      <c r="D64" s="25"/>
      <c r="E64" s="25"/>
      <c r="F64" s="25"/>
      <c r="G64" s="25"/>
      <c r="H64" s="25"/>
      <c r="I64" s="25"/>
      <c r="J64" s="25"/>
      <c r="K64" s="29"/>
      <c r="L64" s="25"/>
      <c r="M64" s="25"/>
      <c r="N64" s="29"/>
      <c r="O64" s="29"/>
      <c r="P64" s="29"/>
    </row>
    <row r="65" spans="1:16" x14ac:dyDescent="0.2">
      <c r="A65" s="4"/>
      <c r="B65" s="4"/>
      <c r="C65" s="25"/>
      <c r="D65" s="25"/>
      <c r="E65" s="25"/>
      <c r="F65" s="25"/>
      <c r="G65" s="25"/>
      <c r="H65" s="25"/>
      <c r="I65" s="25"/>
      <c r="J65" s="25"/>
      <c r="K65" s="29"/>
      <c r="L65" s="25"/>
      <c r="M65" s="25"/>
      <c r="N65" s="29"/>
      <c r="O65" s="29"/>
      <c r="P65" s="29"/>
    </row>
    <row r="66" spans="1:16" x14ac:dyDescent="0.2">
      <c r="A66" s="4"/>
      <c r="B66" s="4"/>
      <c r="C66" s="25"/>
      <c r="D66" s="25"/>
      <c r="E66" s="25"/>
      <c r="F66" s="25"/>
      <c r="G66" s="25"/>
      <c r="H66" s="25"/>
      <c r="I66" s="25"/>
      <c r="J66" s="25"/>
      <c r="K66" s="29"/>
      <c r="L66" s="25"/>
      <c r="M66" s="25"/>
      <c r="N66" s="29"/>
      <c r="O66" s="29"/>
      <c r="P66" s="29"/>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A123" s="4"/>
      <c r="B123" s="4"/>
      <c r="C123" s="25"/>
      <c r="D123" s="25"/>
      <c r="E123" s="25"/>
      <c r="F123" s="25"/>
      <c r="G123" s="25"/>
      <c r="H123" s="25"/>
      <c r="I123" s="25"/>
      <c r="J123" s="25"/>
      <c r="K123" s="4"/>
      <c r="L123" s="25"/>
      <c r="M123" s="25"/>
      <c r="N123" s="4"/>
      <c r="O123" s="4"/>
      <c r="P123" s="4"/>
    </row>
    <row r="124" spans="1:16" x14ac:dyDescent="0.2">
      <c r="A124" s="4"/>
      <c r="B124" s="4"/>
      <c r="C124" s="25"/>
      <c r="D124" s="25"/>
      <c r="E124" s="25"/>
      <c r="F124" s="25"/>
      <c r="G124" s="25"/>
      <c r="H124" s="25"/>
      <c r="I124" s="25"/>
      <c r="J124" s="25"/>
      <c r="K124" s="4"/>
      <c r="L124" s="25"/>
      <c r="M124" s="25"/>
      <c r="N124" s="4"/>
      <c r="O124" s="4"/>
      <c r="P124" s="4"/>
    </row>
    <row r="125" spans="1:16" x14ac:dyDescent="0.2">
      <c r="A125" s="4"/>
      <c r="B125" s="4"/>
      <c r="C125" s="25"/>
      <c r="D125" s="25"/>
      <c r="E125" s="25"/>
      <c r="F125" s="25"/>
      <c r="G125" s="25"/>
      <c r="H125" s="25"/>
      <c r="I125" s="25"/>
      <c r="J125" s="25"/>
      <c r="K125" s="4"/>
      <c r="L125" s="25"/>
      <c r="M125" s="25"/>
      <c r="N125" s="4"/>
      <c r="O125" s="4"/>
      <c r="P125" s="4"/>
    </row>
    <row r="126" spans="1:16" x14ac:dyDescent="0.2">
      <c r="A126" s="4"/>
      <c r="B126" s="4"/>
      <c r="C126" s="25"/>
      <c r="D126" s="25"/>
      <c r="E126" s="25"/>
      <c r="F126" s="25"/>
      <c r="G126" s="25"/>
      <c r="H126" s="25"/>
      <c r="I126" s="25"/>
      <c r="J126" s="25"/>
      <c r="K126" s="4"/>
      <c r="L126" s="25"/>
      <c r="M126" s="25"/>
      <c r="N126" s="4"/>
      <c r="O126" s="4"/>
      <c r="P126" s="4"/>
    </row>
    <row r="127" spans="1:16" x14ac:dyDescent="0.2">
      <c r="A127" s="4"/>
      <c r="B127" s="4"/>
      <c r="C127" s="25"/>
      <c r="D127" s="25"/>
      <c r="E127" s="25"/>
      <c r="F127" s="25"/>
      <c r="G127" s="25"/>
      <c r="H127" s="25"/>
      <c r="I127" s="25"/>
      <c r="J127" s="25"/>
      <c r="K127" s="4"/>
      <c r="L127" s="25"/>
      <c r="M127" s="25"/>
      <c r="N127" s="4"/>
      <c r="O127" s="4"/>
      <c r="P127" s="4"/>
    </row>
    <row r="128" spans="1:16" x14ac:dyDescent="0.2">
      <c r="A128" s="4"/>
      <c r="B128" s="4"/>
      <c r="C128" s="25"/>
      <c r="D128" s="25"/>
      <c r="E128" s="25"/>
      <c r="F128" s="25"/>
      <c r="G128" s="25"/>
      <c r="H128" s="25"/>
      <c r="I128" s="25"/>
      <c r="J128" s="25"/>
      <c r="K128" s="4"/>
      <c r="L128" s="25"/>
      <c r="M128" s="25"/>
      <c r="N128" s="4"/>
      <c r="O128" s="4"/>
      <c r="P128" s="4"/>
    </row>
    <row r="129" spans="1:16" x14ac:dyDescent="0.2">
      <c r="A129" s="4"/>
      <c r="B129" s="4"/>
      <c r="C129" s="25"/>
      <c r="D129" s="25"/>
      <c r="E129" s="25"/>
      <c r="F129" s="25"/>
      <c r="G129" s="25"/>
      <c r="H129" s="25"/>
      <c r="I129" s="25"/>
      <c r="J129" s="25"/>
      <c r="K129" s="4"/>
      <c r="L129" s="25"/>
      <c r="M129" s="25"/>
      <c r="N129" s="4"/>
      <c r="O129" s="4"/>
      <c r="P129" s="4"/>
    </row>
    <row r="130" spans="1:16" x14ac:dyDescent="0.2">
      <c r="A130" s="4"/>
      <c r="B130" s="4"/>
      <c r="C130" s="25"/>
      <c r="D130" s="25"/>
      <c r="E130" s="25"/>
      <c r="F130" s="25"/>
      <c r="G130" s="25"/>
      <c r="H130" s="25"/>
      <c r="I130" s="25"/>
      <c r="J130" s="25"/>
      <c r="K130" s="4"/>
      <c r="L130" s="25"/>
      <c r="M130" s="25"/>
      <c r="N130" s="4"/>
      <c r="O130" s="4"/>
      <c r="P130" s="4"/>
    </row>
    <row r="131" spans="1:16" x14ac:dyDescent="0.2">
      <c r="A131" s="4"/>
      <c r="B131" s="4"/>
      <c r="C131" s="25"/>
      <c r="D131" s="25"/>
      <c r="E131" s="25"/>
      <c r="F131" s="25"/>
      <c r="G131" s="25"/>
      <c r="H131" s="25"/>
      <c r="I131" s="25"/>
      <c r="J131" s="25"/>
      <c r="K131" s="4"/>
      <c r="L131" s="25"/>
      <c r="M131" s="25"/>
      <c r="N131" s="4"/>
      <c r="O131" s="4"/>
      <c r="P131" s="4"/>
    </row>
    <row r="132" spans="1:16" x14ac:dyDescent="0.2">
      <c r="A132" s="4"/>
      <c r="B132" s="4"/>
      <c r="C132" s="25"/>
      <c r="D132" s="25"/>
      <c r="E132" s="25"/>
      <c r="F132" s="25"/>
      <c r="G132" s="25"/>
      <c r="H132" s="25"/>
      <c r="I132" s="25"/>
      <c r="J132" s="25"/>
      <c r="K132" s="4"/>
      <c r="L132" s="25"/>
      <c r="M132" s="25"/>
      <c r="N132" s="4"/>
      <c r="O132" s="4"/>
      <c r="P132" s="4"/>
    </row>
    <row r="133" spans="1:16" x14ac:dyDescent="0.2">
      <c r="A133" s="4"/>
      <c r="B133" s="4"/>
      <c r="C133" s="25"/>
      <c r="D133" s="25"/>
      <c r="E133" s="25"/>
      <c r="F133" s="25"/>
      <c r="G133" s="25"/>
      <c r="H133" s="25"/>
      <c r="I133" s="25"/>
      <c r="J133" s="25"/>
      <c r="K133" s="4"/>
      <c r="L133" s="25"/>
      <c r="M133" s="25"/>
      <c r="N133" s="4"/>
      <c r="O133" s="4"/>
      <c r="P133" s="4"/>
    </row>
    <row r="134" spans="1:16" x14ac:dyDescent="0.2">
      <c r="A134" s="4"/>
      <c r="B134" s="4"/>
      <c r="C134" s="25"/>
      <c r="D134" s="25"/>
      <c r="E134" s="25"/>
      <c r="F134" s="25"/>
      <c r="G134" s="25"/>
      <c r="H134" s="25"/>
      <c r="I134" s="25"/>
      <c r="J134" s="25"/>
      <c r="K134" s="4"/>
      <c r="L134" s="25"/>
      <c r="M134" s="25"/>
      <c r="N134" s="4"/>
      <c r="O134" s="4"/>
      <c r="P134" s="4"/>
    </row>
    <row r="135" spans="1:16" x14ac:dyDescent="0.2">
      <c r="C135" s="121"/>
    </row>
    <row r="136" spans="1:16" x14ac:dyDescent="0.2">
      <c r="C136" s="121"/>
    </row>
    <row r="137" spans="1:16" x14ac:dyDescent="0.2">
      <c r="C137" s="121"/>
    </row>
    <row r="138" spans="1:16" x14ac:dyDescent="0.2">
      <c r="C138" s="121"/>
    </row>
    <row r="139" spans="1:16" x14ac:dyDescent="0.2">
      <c r="C139" s="121"/>
    </row>
    <row r="140" spans="1:16" x14ac:dyDescent="0.2">
      <c r="C140" s="121"/>
    </row>
    <row r="141" spans="1:16" x14ac:dyDescent="0.2">
      <c r="C141" s="121"/>
    </row>
    <row r="142" spans="1:16" x14ac:dyDescent="0.2">
      <c r="C142" s="121"/>
    </row>
    <row r="143" spans="1:16" x14ac:dyDescent="0.2">
      <c r="C143" s="121"/>
    </row>
    <row r="144" spans="1:16"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row r="178" spans="3:3" x14ac:dyDescent="0.2">
      <c r="C178" s="121"/>
    </row>
    <row r="179" spans="3:3" x14ac:dyDescent="0.2">
      <c r="C179" s="121"/>
    </row>
    <row r="180" spans="3:3" x14ac:dyDescent="0.2">
      <c r="C180" s="121"/>
    </row>
    <row r="181" spans="3:3" x14ac:dyDescent="0.2">
      <c r="C181" s="121"/>
    </row>
    <row r="182" spans="3:3" x14ac:dyDescent="0.2">
      <c r="C182" s="121"/>
    </row>
    <row r="183" spans="3:3" x14ac:dyDescent="0.2">
      <c r="C183" s="121"/>
    </row>
    <row r="184" spans="3:3" x14ac:dyDescent="0.2">
      <c r="C184" s="121"/>
    </row>
    <row r="185" spans="3:3" x14ac:dyDescent="0.2">
      <c r="C185"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horizontalDpi="300" verticalDpi="300" r:id="rId1"/>
  <headerFooter alignWithMargins="0">
    <oddFooter>&amp;L&amp;D     &amp;T&amp;C&amp;F&amp;R&amp;A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85" zoomScaleNormal="85" workbookViewId="0">
      <pane ySplit="7" topLeftCell="A8" activePane="bottomLeft" state="frozen"/>
      <selection activeCell="K15" sqref="K15"/>
      <selection pane="bottomLeft" activeCell="B19" sqref="B19"/>
    </sheetView>
  </sheetViews>
  <sheetFormatPr defaultRowHeight="12.75" x14ac:dyDescent="0.2"/>
  <cols>
    <col min="1" max="1" width="9.5" bestFit="1" customWidth="1"/>
    <col min="2" max="2" width="35.83203125" customWidth="1"/>
    <col min="3" max="7" width="14.33203125" style="1" hidden="1" customWidth="1"/>
    <col min="8" max="8" width="14.33203125" style="1" customWidth="1"/>
    <col min="9" max="13" width="14.33203125" customWidth="1"/>
  </cols>
  <sheetData>
    <row r="1" spans="1:13" x14ac:dyDescent="0.2">
      <c r="A1" s="410" t="s">
        <v>1013</v>
      </c>
      <c r="B1" s="410" t="s">
        <v>1418</v>
      </c>
      <c r="D1" s="121"/>
      <c r="E1" s="121"/>
      <c r="F1" s="121"/>
      <c r="G1" s="121"/>
      <c r="H1" s="121"/>
      <c r="I1" s="121"/>
      <c r="J1" s="121"/>
      <c r="L1" s="1"/>
    </row>
    <row r="2" spans="1:13" ht="15" x14ac:dyDescent="0.25">
      <c r="A2" s="49" t="s">
        <v>4</v>
      </c>
      <c r="B2" s="49"/>
      <c r="E2" s="153"/>
      <c r="H2" s="153" t="s">
        <v>252</v>
      </c>
      <c r="I2" s="153"/>
      <c r="J2" s="153"/>
      <c r="K2" s="67" t="s">
        <v>711</v>
      </c>
      <c r="L2" s="1"/>
      <c r="M2" s="50" t="s">
        <v>724</v>
      </c>
    </row>
    <row r="3" spans="1:13" ht="13.5" thickBot="1" x14ac:dyDescent="0.25">
      <c r="A3" s="4"/>
      <c r="B3" s="4"/>
      <c r="C3" s="25"/>
      <c r="D3" s="25"/>
      <c r="E3" s="25"/>
      <c r="F3" s="25"/>
      <c r="G3" s="25"/>
      <c r="H3" s="25"/>
      <c r="I3" s="25"/>
      <c r="J3" s="25"/>
      <c r="K3" s="4"/>
      <c r="L3" s="25"/>
      <c r="M3" s="4"/>
    </row>
    <row r="4" spans="1:13"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3" x14ac:dyDescent="0.2">
      <c r="A5" s="93"/>
      <c r="B5" s="216"/>
      <c r="C5" s="137"/>
      <c r="D5" s="94"/>
      <c r="E5" s="120"/>
      <c r="F5" s="94"/>
      <c r="G5" s="94"/>
      <c r="H5" s="120"/>
      <c r="I5" s="318"/>
      <c r="J5" s="318"/>
      <c r="K5" s="120" t="s">
        <v>509</v>
      </c>
      <c r="L5" s="95" t="s">
        <v>7</v>
      </c>
      <c r="M5" s="209" t="s">
        <v>783</v>
      </c>
    </row>
    <row r="6" spans="1:13" x14ac:dyDescent="0.2">
      <c r="A6" s="93"/>
      <c r="B6" s="216"/>
      <c r="C6" s="137"/>
      <c r="D6" s="137"/>
      <c r="E6" s="137"/>
      <c r="F6" s="137"/>
      <c r="G6" s="137"/>
      <c r="H6" s="137"/>
      <c r="I6" s="95"/>
      <c r="J6" s="95"/>
      <c r="K6" s="137"/>
      <c r="L6" s="95" t="s">
        <v>8</v>
      </c>
      <c r="M6" s="51" t="s">
        <v>537</v>
      </c>
    </row>
    <row r="7" spans="1:13"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3" ht="13.5" thickTop="1" x14ac:dyDescent="0.2">
      <c r="A8" s="30"/>
      <c r="B8" s="218"/>
      <c r="C8" s="142"/>
      <c r="D8" s="19"/>
      <c r="E8" s="19"/>
      <c r="F8" s="19"/>
      <c r="G8" s="19"/>
      <c r="H8" s="19"/>
      <c r="I8" s="20"/>
      <c r="J8" s="20"/>
      <c r="K8" s="19"/>
      <c r="L8" s="20"/>
      <c r="M8" s="20"/>
    </row>
    <row r="9" spans="1:13" ht="13.5" thickBot="1" x14ac:dyDescent="0.25">
      <c r="A9" s="30">
        <v>5100</v>
      </c>
      <c r="B9" s="69" t="s">
        <v>1574</v>
      </c>
      <c r="C9" s="142"/>
      <c r="D9" s="19"/>
      <c r="E9" s="19"/>
      <c r="F9" s="19"/>
      <c r="G9" s="19"/>
      <c r="H9" s="16"/>
      <c r="I9" s="17"/>
      <c r="J9" s="17"/>
      <c r="K9" s="16"/>
      <c r="L9" s="17">
        <v>4000</v>
      </c>
      <c r="M9" s="17"/>
    </row>
    <row r="10" spans="1:13" x14ac:dyDescent="0.2">
      <c r="A10" s="30"/>
      <c r="B10" s="70" t="s">
        <v>671</v>
      </c>
      <c r="C10" s="142"/>
      <c r="D10" s="19"/>
      <c r="E10" s="19"/>
      <c r="F10" s="19"/>
      <c r="G10" s="19"/>
      <c r="H10" s="19"/>
      <c r="I10" s="20"/>
      <c r="J10" s="20"/>
      <c r="K10" s="19"/>
      <c r="L10" s="20">
        <f>+L9</f>
        <v>4000</v>
      </c>
      <c r="M10" s="20"/>
    </row>
    <row r="11" spans="1:13" x14ac:dyDescent="0.2">
      <c r="A11" s="30"/>
      <c r="B11" s="69"/>
      <c r="C11" s="142"/>
      <c r="D11" s="19"/>
      <c r="E11" s="19"/>
      <c r="F11" s="19"/>
      <c r="G11" s="19"/>
      <c r="H11" s="19"/>
      <c r="I11" s="20"/>
      <c r="J11" s="20"/>
      <c r="K11" s="19"/>
      <c r="L11" s="20"/>
      <c r="M11" s="20"/>
    </row>
    <row r="12" spans="1:13" x14ac:dyDescent="0.2">
      <c r="A12" s="30"/>
      <c r="B12" s="117"/>
      <c r="C12" s="142"/>
      <c r="D12" s="19"/>
      <c r="E12" s="19"/>
      <c r="F12" s="19"/>
      <c r="G12" s="19"/>
      <c r="H12" s="19"/>
      <c r="I12" s="20"/>
      <c r="J12" s="20"/>
      <c r="K12" s="19"/>
      <c r="L12" s="20"/>
      <c r="M12" s="20"/>
    </row>
    <row r="13" spans="1:13" ht="13.5" thickBot="1" x14ac:dyDescent="0.25">
      <c r="A13" s="12">
        <v>5740</v>
      </c>
      <c r="B13" s="826" t="s">
        <v>712</v>
      </c>
      <c r="C13" s="141">
        <v>1485</v>
      </c>
      <c r="D13" s="16">
        <v>0</v>
      </c>
      <c r="E13" s="16">
        <v>676</v>
      </c>
      <c r="F13" s="16">
        <v>776</v>
      </c>
      <c r="G13" s="16">
        <v>984</v>
      </c>
      <c r="H13" s="16">
        <v>884</v>
      </c>
      <c r="I13" s="16">
        <v>882.6</v>
      </c>
      <c r="J13" s="17">
        <v>1000</v>
      </c>
      <c r="K13" s="16"/>
      <c r="L13" s="17">
        <v>1000</v>
      </c>
      <c r="M13" s="17"/>
    </row>
    <row r="14" spans="1:13" x14ac:dyDescent="0.2">
      <c r="A14" s="12"/>
      <c r="B14" s="70" t="s">
        <v>442</v>
      </c>
      <c r="C14" s="142">
        <f t="shared" ref="C14:L14" si="0">SUM(C13:C13)</f>
        <v>1485</v>
      </c>
      <c r="D14" s="19">
        <f t="shared" si="0"/>
        <v>0</v>
      </c>
      <c r="E14" s="19">
        <f t="shared" si="0"/>
        <v>676</v>
      </c>
      <c r="F14" s="19">
        <f>+F13</f>
        <v>776</v>
      </c>
      <c r="G14" s="19">
        <f>+G13</f>
        <v>984</v>
      </c>
      <c r="H14" s="19">
        <f>+H13</f>
        <v>884</v>
      </c>
      <c r="I14" s="19">
        <f t="shared" si="0"/>
        <v>882.6</v>
      </c>
      <c r="J14" s="38">
        <f t="shared" ref="J14" si="1">SUM(J13:J13)</f>
        <v>1000</v>
      </c>
      <c r="K14" s="19">
        <f t="shared" si="0"/>
        <v>0</v>
      </c>
      <c r="L14" s="38">
        <f t="shared" si="0"/>
        <v>1000</v>
      </c>
      <c r="M14" s="38">
        <f>SUM(M13:M13)</f>
        <v>0</v>
      </c>
    </row>
    <row r="15" spans="1:13" x14ac:dyDescent="0.2">
      <c r="A15" s="12"/>
      <c r="B15" s="69"/>
      <c r="C15" s="140"/>
      <c r="D15" s="14"/>
      <c r="E15" s="14"/>
      <c r="F15" s="14"/>
      <c r="G15" s="14"/>
      <c r="H15" s="14"/>
      <c r="I15" s="14"/>
      <c r="J15" s="15"/>
      <c r="K15" s="14"/>
      <c r="L15" s="15"/>
      <c r="M15" s="15"/>
    </row>
    <row r="16" spans="1:13" x14ac:dyDescent="0.2">
      <c r="A16" s="12"/>
      <c r="B16" s="69"/>
      <c r="C16" s="140"/>
      <c r="D16" s="14"/>
      <c r="E16" s="14"/>
      <c r="F16" s="14"/>
      <c r="G16" s="14"/>
      <c r="H16" s="14"/>
      <c r="I16" s="14"/>
      <c r="J16" s="15"/>
      <c r="K16" s="14"/>
      <c r="L16" s="15"/>
      <c r="M16" s="15"/>
    </row>
    <row r="17" spans="1:13" ht="13.5" thickBot="1" x14ac:dyDescent="0.25">
      <c r="A17" s="21"/>
      <c r="B17" s="825" t="s">
        <v>713</v>
      </c>
      <c r="C17" s="816">
        <f t="shared" ref="C17:K17" si="2">+C14</f>
        <v>1485</v>
      </c>
      <c r="D17" s="23">
        <f t="shared" si="2"/>
        <v>0</v>
      </c>
      <c r="E17" s="23">
        <f>+E14</f>
        <v>676</v>
      </c>
      <c r="F17" s="23">
        <f>+F14</f>
        <v>776</v>
      </c>
      <c r="G17" s="23">
        <f>+G14</f>
        <v>984</v>
      </c>
      <c r="H17" s="23">
        <f>+H14</f>
        <v>884</v>
      </c>
      <c r="I17" s="23">
        <f t="shared" si="2"/>
        <v>882.6</v>
      </c>
      <c r="J17" s="43">
        <f t="shared" ref="J17" si="3">+J14</f>
        <v>1000</v>
      </c>
      <c r="K17" s="23">
        <f t="shared" si="2"/>
        <v>0</v>
      </c>
      <c r="L17" s="43">
        <f>+L14+L10</f>
        <v>5000</v>
      </c>
      <c r="M17" s="43">
        <f>+L17</f>
        <v>5000</v>
      </c>
    </row>
    <row r="18" spans="1:13" ht="13.5" thickTop="1" x14ac:dyDescent="0.2">
      <c r="A18" s="4"/>
      <c r="B18" s="826"/>
      <c r="C18" s="26"/>
      <c r="D18" s="26"/>
      <c r="E18" s="26"/>
      <c r="F18" s="26"/>
      <c r="G18" s="26"/>
      <c r="H18" s="26"/>
      <c r="I18" s="26"/>
      <c r="J18" s="26"/>
      <c r="K18" s="27"/>
      <c r="L18" s="26"/>
      <c r="M18" s="25"/>
    </row>
    <row r="19" spans="1:13" x14ac:dyDescent="0.2">
      <c r="A19" s="197"/>
      <c r="B19" s="361"/>
    </row>
    <row r="20" spans="1:13" x14ac:dyDescent="0.2">
      <c r="A20" s="185"/>
      <c r="B20" s="361"/>
    </row>
    <row r="21" spans="1:13" x14ac:dyDescent="0.2">
      <c r="A21" s="197"/>
      <c r="B21" s="374"/>
    </row>
    <row r="22" spans="1:13" ht="13.5" thickBot="1" x14ac:dyDescent="0.25">
      <c r="B22" s="361"/>
    </row>
    <row r="23" spans="1:13" ht="13.5" thickTop="1" x14ac:dyDescent="0.2">
      <c r="A23" s="517"/>
      <c r="B23" s="518"/>
      <c r="C23" s="519" t="s">
        <v>122</v>
      </c>
      <c r="D23" s="520" t="s">
        <v>122</v>
      </c>
      <c r="E23" s="520" t="s">
        <v>122</v>
      </c>
      <c r="H23" s="521" t="s">
        <v>542</v>
      </c>
      <c r="I23" s="522" t="s">
        <v>9</v>
      </c>
      <c r="J23" s="523" t="s">
        <v>1073</v>
      </c>
      <c r="K23" s="522" t="s">
        <v>682</v>
      </c>
      <c r="L23" s="524"/>
      <c r="M23" s="523"/>
    </row>
    <row r="24" spans="1:13" ht="13.5" thickBot="1" x14ac:dyDescent="0.25">
      <c r="A24" s="525" t="s">
        <v>123</v>
      </c>
      <c r="B24" s="526"/>
      <c r="C24" s="527" t="s">
        <v>334</v>
      </c>
      <c r="D24" s="527" t="s">
        <v>718</v>
      </c>
      <c r="E24" s="528" t="s">
        <v>734</v>
      </c>
      <c r="H24" s="529" t="s">
        <v>899</v>
      </c>
      <c r="I24" s="529" t="s">
        <v>900</v>
      </c>
      <c r="J24" s="528" t="s">
        <v>1075</v>
      </c>
      <c r="K24" s="530" t="s">
        <v>1075</v>
      </c>
      <c r="L24" s="531" t="s">
        <v>1074</v>
      </c>
      <c r="M24" s="529"/>
    </row>
    <row r="25" spans="1:13" ht="13.5" thickTop="1" x14ac:dyDescent="0.2">
      <c r="A25" s="548"/>
      <c r="B25" s="549"/>
      <c r="C25" s="536"/>
      <c r="D25" s="536"/>
      <c r="E25" s="536"/>
      <c r="H25" s="537"/>
      <c r="I25" s="536"/>
      <c r="J25" s="539"/>
      <c r="K25" s="545"/>
      <c r="L25" s="538"/>
      <c r="M25" s="539"/>
    </row>
    <row r="26" spans="1:13" x14ac:dyDescent="0.2">
      <c r="A26" s="548">
        <v>5100</v>
      </c>
      <c r="B26" s="549" t="s">
        <v>1574</v>
      </c>
      <c r="C26" s="536"/>
      <c r="D26" s="536"/>
      <c r="E26" s="536"/>
      <c r="F26" s="848"/>
      <c r="G26" s="848"/>
      <c r="H26" s="537">
        <f>+J9</f>
        <v>0</v>
      </c>
      <c r="I26" s="536">
        <f>+L9</f>
        <v>4000</v>
      </c>
      <c r="J26" s="539">
        <f>+I26-H26</f>
        <v>4000</v>
      </c>
      <c r="K26" s="545">
        <f>IF(H26+I26&lt;&gt;0,IF(H26&lt;&gt;0,IF(J26&lt;&gt;0,ROUND((+J26/H26),4),""),1),"")</f>
        <v>1</v>
      </c>
      <c r="L26" s="538"/>
      <c r="M26" s="539"/>
    </row>
    <row r="27" spans="1:13" x14ac:dyDescent="0.2">
      <c r="A27" s="548"/>
      <c r="B27" s="573"/>
      <c r="C27" s="550"/>
      <c r="D27" s="550"/>
      <c r="E27" s="550"/>
      <c r="H27" s="847"/>
      <c r="I27" s="550"/>
      <c r="J27" s="539"/>
      <c r="K27" s="545"/>
      <c r="L27" s="538"/>
      <c r="M27" s="539"/>
    </row>
    <row r="28" spans="1:13" ht="13.5" thickBot="1" x14ac:dyDescent="0.25">
      <c r="A28" s="551">
        <v>5740</v>
      </c>
      <c r="B28" s="563" t="s">
        <v>712</v>
      </c>
      <c r="C28" s="542">
        <v>1485</v>
      </c>
      <c r="D28" s="542">
        <v>0</v>
      </c>
      <c r="E28" s="542">
        <v>676</v>
      </c>
      <c r="H28" s="555">
        <f>+J13</f>
        <v>1000</v>
      </c>
      <c r="I28" s="728">
        <f>+L13</f>
        <v>1000</v>
      </c>
      <c r="J28" s="539">
        <f>+I28-H28</f>
        <v>0</v>
      </c>
      <c r="K28" s="545" t="str">
        <f>IF(H28+I28&lt;&gt;0,IF(H28&lt;&gt;0,IF(J28&lt;&gt;0,ROUND((+J28/H28),4),""),1),"")</f>
        <v/>
      </c>
      <c r="L28" s="538"/>
      <c r="M28" s="539"/>
    </row>
    <row r="30" spans="1:13" x14ac:dyDescent="0.2">
      <c r="B30" s="4" t="s">
        <v>1600</v>
      </c>
      <c r="C30" s="25"/>
      <c r="D30" s="25"/>
      <c r="E30" s="25"/>
      <c r="F30" s="25"/>
      <c r="G30" s="25"/>
      <c r="H30" s="849">
        <f>SUM(H19:H29)</f>
        <v>1000</v>
      </c>
      <c r="I30" s="849">
        <f>SUM(I19:I29)</f>
        <v>5000</v>
      </c>
      <c r="J30" s="208">
        <f t="shared" ref="J30" si="4">+I30-H30</f>
        <v>4000</v>
      </c>
      <c r="K30" s="850">
        <f t="shared" ref="K30" si="5">IF(H30+I30&lt;&gt;0,IF(H30&lt;&gt;0,IF(J30&lt;&gt;0,ROUND((+J30/H30),4),""),1),"")</f>
        <v>4</v>
      </c>
    </row>
  </sheetData>
  <phoneticPr fontId="15" type="noConversion"/>
  <hyperlinks>
    <hyperlink ref="A1" location="'Working Budget with funding det'!A1" display="Main "/>
    <hyperlink ref="B1" location="'Table of Contents'!A1" display="TOC"/>
  </hyperlinks>
  <pageMargins left="0.75" right="0.75" top="1" bottom="1" header="0.5" footer="0.5"/>
  <pageSetup orientation="landscape" r:id="rId1"/>
  <headerFooter alignWithMargins="0">
    <oddFooter>&amp;L&amp;D &amp;T&amp;C&amp;F&amp;R&amp;A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87"/>
  <sheetViews>
    <sheetView zoomScale="75" zoomScaleNormal="75" workbookViewId="0">
      <pane ySplit="4" topLeftCell="A5" activePane="bottomLeft" state="frozen"/>
      <selection activeCell="M23" sqref="M23"/>
      <selection pane="bottomLeft" activeCell="G1" sqref="G1:G1048576"/>
    </sheetView>
  </sheetViews>
  <sheetFormatPr defaultRowHeight="12.75" x14ac:dyDescent="0.2"/>
  <cols>
    <col min="1" max="1" width="40" customWidth="1"/>
    <col min="2" max="6" width="18.83203125" style="2" hidden="1" customWidth="1"/>
    <col min="7" max="7" width="16.6640625" style="2" hidden="1" customWidth="1"/>
    <col min="8" max="11" width="16.6640625" style="2" customWidth="1"/>
    <col min="12" max="12" width="11.5" customWidth="1"/>
    <col min="13" max="13" width="45.5" customWidth="1"/>
    <col min="14" max="16" width="16.33203125" customWidth="1"/>
  </cols>
  <sheetData>
    <row r="1" spans="1:12" ht="15" x14ac:dyDescent="0.2">
      <c r="A1" s="672" t="s">
        <v>1384</v>
      </c>
      <c r="B1" s="675" t="s">
        <v>334</v>
      </c>
      <c r="C1" s="675" t="s">
        <v>718</v>
      </c>
      <c r="D1" s="675" t="s">
        <v>734</v>
      </c>
      <c r="E1" s="675" t="s">
        <v>802</v>
      </c>
      <c r="F1" s="675" t="s">
        <v>882</v>
      </c>
      <c r="G1" s="675" t="s">
        <v>1010</v>
      </c>
      <c r="H1" s="675" t="s">
        <v>1072</v>
      </c>
      <c r="I1" s="675" t="s">
        <v>1209</v>
      </c>
      <c r="J1" s="675" t="s">
        <v>1209</v>
      </c>
      <c r="K1" s="675" t="s">
        <v>1359</v>
      </c>
      <c r="L1" s="675"/>
    </row>
    <row r="2" spans="1:12" ht="15" x14ac:dyDescent="0.2">
      <c r="A2" s="410" t="s">
        <v>1418</v>
      </c>
      <c r="B2" s="673"/>
      <c r="C2" s="673"/>
      <c r="D2" s="675"/>
      <c r="E2" s="675"/>
      <c r="F2" s="675"/>
      <c r="G2" s="675"/>
      <c r="H2" s="675"/>
      <c r="I2" s="675"/>
      <c r="J2" s="675"/>
      <c r="K2" s="675" t="s">
        <v>1181</v>
      </c>
      <c r="L2" s="712"/>
    </row>
    <row r="3" spans="1:12" ht="15" x14ac:dyDescent="0.2">
      <c r="A3" s="672"/>
      <c r="B3" s="675" t="s">
        <v>122</v>
      </c>
      <c r="C3" s="675" t="s">
        <v>122</v>
      </c>
      <c r="D3" s="675" t="s">
        <v>122</v>
      </c>
      <c r="E3" s="675" t="s">
        <v>122</v>
      </c>
      <c r="F3" s="675" t="s">
        <v>122</v>
      </c>
      <c r="G3" s="674" t="s">
        <v>122</v>
      </c>
      <c r="H3" s="674" t="s">
        <v>122</v>
      </c>
      <c r="I3" s="674" t="s">
        <v>122</v>
      </c>
      <c r="J3" s="713" t="s">
        <v>542</v>
      </c>
      <c r="K3" s="713" t="s">
        <v>542</v>
      </c>
      <c r="L3" s="675"/>
    </row>
    <row r="4" spans="1:12" ht="15" x14ac:dyDescent="0.2">
      <c r="A4" s="672"/>
      <c r="B4" s="675" t="s">
        <v>528</v>
      </c>
      <c r="C4" s="675" t="s">
        <v>528</v>
      </c>
      <c r="D4" s="675" t="s">
        <v>528</v>
      </c>
      <c r="E4" s="675" t="s">
        <v>528</v>
      </c>
      <c r="F4" s="675" t="s">
        <v>528</v>
      </c>
      <c r="G4" s="674" t="s">
        <v>528</v>
      </c>
      <c r="H4" s="674" t="s">
        <v>528</v>
      </c>
      <c r="I4" s="674" t="s">
        <v>528</v>
      </c>
      <c r="J4" s="713" t="s">
        <v>940</v>
      </c>
      <c r="K4" s="713" t="s">
        <v>940</v>
      </c>
      <c r="L4" s="672"/>
    </row>
    <row r="5" spans="1:12" ht="15" x14ac:dyDescent="0.2">
      <c r="A5" s="672"/>
      <c r="B5" s="675"/>
      <c r="C5" s="675"/>
      <c r="D5" s="673"/>
      <c r="E5" s="673"/>
      <c r="F5" s="673"/>
      <c r="G5" s="673"/>
      <c r="H5" s="673"/>
      <c r="I5" s="673"/>
      <c r="J5" s="673"/>
      <c r="K5" s="673"/>
      <c r="L5" s="672"/>
    </row>
    <row r="6" spans="1:12" ht="15" x14ac:dyDescent="0.2">
      <c r="A6" s="672"/>
      <c r="B6" s="675"/>
      <c r="C6" s="675"/>
      <c r="D6" s="673"/>
      <c r="E6" s="673"/>
      <c r="F6" s="673"/>
      <c r="G6" s="675"/>
      <c r="H6" s="673"/>
      <c r="I6" s="673"/>
      <c r="J6" s="673"/>
      <c r="K6" s="673"/>
      <c r="L6" s="672"/>
    </row>
    <row r="7" spans="1:12" ht="15.75" x14ac:dyDescent="0.25">
      <c r="A7" s="714" t="s">
        <v>399</v>
      </c>
      <c r="B7" s="673"/>
      <c r="C7" s="673"/>
      <c r="D7" s="673"/>
      <c r="E7" s="673"/>
      <c r="F7" s="673"/>
      <c r="G7" s="675"/>
      <c r="H7" s="673"/>
      <c r="I7" s="673"/>
      <c r="J7" s="673"/>
      <c r="K7" s="673"/>
      <c r="L7" s="691"/>
    </row>
    <row r="8" spans="1:12" ht="15" x14ac:dyDescent="0.2">
      <c r="A8" s="672" t="s">
        <v>120</v>
      </c>
      <c r="B8" s="678">
        <v>12456970</v>
      </c>
      <c r="C8" s="715">
        <f t="shared" ref="C8:K8" si="0">+B8+B9+B10</f>
        <v>12911745</v>
      </c>
      <c r="D8" s="673">
        <f t="shared" si="0"/>
        <v>13690149</v>
      </c>
      <c r="E8" s="715">
        <f t="shared" si="0"/>
        <v>14144902</v>
      </c>
      <c r="F8" s="673">
        <f t="shared" si="0"/>
        <v>14642844</v>
      </c>
      <c r="G8" s="673">
        <v>15274313</v>
      </c>
      <c r="H8" s="673">
        <f t="shared" si="0"/>
        <v>16267561</v>
      </c>
      <c r="I8" s="673">
        <v>17194323</v>
      </c>
      <c r="J8" s="673">
        <f>+H8+H9+H10-9761</f>
        <v>17184562</v>
      </c>
      <c r="K8" s="673">
        <f t="shared" si="0"/>
        <v>18178839</v>
      </c>
      <c r="L8" s="691"/>
    </row>
    <row r="9" spans="1:12" ht="15" x14ac:dyDescent="0.2">
      <c r="A9" s="716">
        <v>2.5000000000000001E-2</v>
      </c>
      <c r="B9" s="678">
        <v>311424</v>
      </c>
      <c r="C9" s="715">
        <f t="shared" ref="C9:H9" si="1">ROUND((+C8*0.025),0)</f>
        <v>322794</v>
      </c>
      <c r="D9" s="673">
        <f t="shared" si="1"/>
        <v>342254</v>
      </c>
      <c r="E9" s="715">
        <f t="shared" si="1"/>
        <v>353623</v>
      </c>
      <c r="F9" s="715">
        <f t="shared" si="1"/>
        <v>366071</v>
      </c>
      <c r="G9" s="715">
        <f t="shared" si="1"/>
        <v>381858</v>
      </c>
      <c r="H9" s="715">
        <f t="shared" si="1"/>
        <v>406689</v>
      </c>
      <c r="I9" s="715">
        <f>429614-9761</f>
        <v>419853</v>
      </c>
      <c r="J9" s="715">
        <f>ROUND((+J8*0.025),0)</f>
        <v>429614</v>
      </c>
      <c r="K9" s="715">
        <f>ROUND((+K8*0.025),0)</f>
        <v>454471</v>
      </c>
      <c r="L9" s="691"/>
    </row>
    <row r="10" spans="1:12" ht="15" x14ac:dyDescent="0.2">
      <c r="A10" s="672" t="s">
        <v>400</v>
      </c>
      <c r="B10" s="412">
        <v>143351</v>
      </c>
      <c r="C10" s="715">
        <v>455610</v>
      </c>
      <c r="D10" s="673">
        <v>112499</v>
      </c>
      <c r="E10" s="715">
        <v>144319</v>
      </c>
      <c r="F10" s="715">
        <v>264355</v>
      </c>
      <c r="G10" s="715">
        <v>611390</v>
      </c>
      <c r="H10" s="715">
        <v>520073</v>
      </c>
      <c r="I10" s="715">
        <v>564663</v>
      </c>
      <c r="J10" s="715">
        <v>564663</v>
      </c>
      <c r="K10" s="715">
        <v>250000</v>
      </c>
      <c r="L10" s="691"/>
    </row>
    <row r="11" spans="1:12" ht="15" x14ac:dyDescent="0.2">
      <c r="A11" s="672" t="s">
        <v>401</v>
      </c>
      <c r="B11" s="412">
        <v>713128</v>
      </c>
      <c r="C11" s="715">
        <v>674566</v>
      </c>
      <c r="D11" s="673">
        <v>679626</v>
      </c>
      <c r="E11" s="715">
        <v>677179</v>
      </c>
      <c r="F11" s="715">
        <v>675388</v>
      </c>
      <c r="G11" s="715">
        <v>747324</v>
      </c>
      <c r="H11" s="715">
        <v>742178</v>
      </c>
      <c r="I11" s="715">
        <v>925371</v>
      </c>
      <c r="J11" s="715">
        <v>925371</v>
      </c>
      <c r="K11" s="715">
        <f>+'Debt Exclusion Calc.'!I24</f>
        <v>1165193</v>
      </c>
      <c r="L11" s="691"/>
    </row>
    <row r="12" spans="1:12" ht="15" x14ac:dyDescent="0.2">
      <c r="A12" s="672" t="s">
        <v>1390</v>
      </c>
      <c r="B12" s="412"/>
      <c r="C12" s="715"/>
      <c r="D12" s="673"/>
      <c r="E12" s="715"/>
      <c r="F12" s="715"/>
      <c r="G12" s="715"/>
      <c r="H12" s="715"/>
      <c r="I12" s="715"/>
      <c r="J12" s="715">
        <v>-300000</v>
      </c>
      <c r="K12" s="715">
        <v>-300000</v>
      </c>
      <c r="L12" s="691"/>
    </row>
    <row r="13" spans="1:12" ht="15" x14ac:dyDescent="0.2">
      <c r="A13" s="672" t="s">
        <v>406</v>
      </c>
      <c r="B13" s="717">
        <f t="shared" ref="B13:I13" si="2">SUM(B8:B11)</f>
        <v>13624873</v>
      </c>
      <c r="C13" s="718">
        <f t="shared" si="2"/>
        <v>14364715</v>
      </c>
      <c r="D13" s="717">
        <f t="shared" si="2"/>
        <v>14824528</v>
      </c>
      <c r="E13" s="718">
        <f t="shared" si="2"/>
        <v>15320023</v>
      </c>
      <c r="F13" s="718">
        <f t="shared" si="2"/>
        <v>15948658</v>
      </c>
      <c r="G13" s="718">
        <f>SUM(G8:G11)</f>
        <v>17014885</v>
      </c>
      <c r="H13" s="718">
        <f t="shared" si="2"/>
        <v>17936501</v>
      </c>
      <c r="I13" s="718">
        <f t="shared" si="2"/>
        <v>19104210</v>
      </c>
      <c r="J13" s="718">
        <f>SUM(J8:J12)</f>
        <v>18804210</v>
      </c>
      <c r="K13" s="718">
        <f>SUM(K8:K12)</f>
        <v>19748503</v>
      </c>
      <c r="L13" s="691"/>
    </row>
    <row r="14" spans="1:12" ht="15" x14ac:dyDescent="0.2">
      <c r="A14" s="672"/>
      <c r="B14" s="673"/>
      <c r="C14" s="715"/>
      <c r="D14" s="673"/>
      <c r="E14" s="715"/>
      <c r="F14" s="715"/>
      <c r="G14" s="715"/>
      <c r="H14" s="715"/>
      <c r="I14" s="715"/>
      <c r="J14" s="715"/>
      <c r="K14" s="715"/>
      <c r="L14" s="691"/>
    </row>
    <row r="15" spans="1:12" ht="15" x14ac:dyDescent="0.2">
      <c r="A15" s="672" t="s">
        <v>464</v>
      </c>
      <c r="B15" s="678">
        <v>-123306</v>
      </c>
      <c r="C15" s="412">
        <v>-357654</v>
      </c>
      <c r="D15" s="678">
        <v>-400065</v>
      </c>
      <c r="E15" s="412">
        <v>-406881</v>
      </c>
      <c r="F15" s="412">
        <v>-450000</v>
      </c>
      <c r="G15" s="412">
        <v>-487971.03</v>
      </c>
      <c r="H15" s="412">
        <v>-424470</v>
      </c>
      <c r="I15" s="412">
        <v>-133913</v>
      </c>
      <c r="J15" s="412">
        <v>-450000</v>
      </c>
      <c r="K15" s="412">
        <v>-150000</v>
      </c>
      <c r="L15" s="691"/>
    </row>
    <row r="16" spans="1:12" ht="15" x14ac:dyDescent="0.2">
      <c r="A16" s="672" t="s">
        <v>409</v>
      </c>
      <c r="B16" s="717">
        <f t="shared" ref="B16:I16" si="3">SUM(B13:B15)</f>
        <v>13501567</v>
      </c>
      <c r="C16" s="718">
        <f t="shared" si="3"/>
        <v>14007061</v>
      </c>
      <c r="D16" s="717">
        <f t="shared" si="3"/>
        <v>14424463</v>
      </c>
      <c r="E16" s="718">
        <f t="shared" si="3"/>
        <v>14913142</v>
      </c>
      <c r="F16" s="718">
        <f t="shared" si="3"/>
        <v>15498658</v>
      </c>
      <c r="G16" s="718">
        <f>SUM(G13:G15)</f>
        <v>16526913.970000001</v>
      </c>
      <c r="H16" s="718">
        <f t="shared" si="3"/>
        <v>17512031</v>
      </c>
      <c r="I16" s="718">
        <f t="shared" si="3"/>
        <v>18970297</v>
      </c>
      <c r="J16" s="718">
        <f>SUM(J13:J15)</f>
        <v>18354210</v>
      </c>
      <c r="K16" s="718">
        <f>SUM(K13:K15)</f>
        <v>19598503</v>
      </c>
      <c r="L16" s="719"/>
    </row>
    <row r="17" spans="1:16" ht="15" x14ac:dyDescent="0.2">
      <c r="A17" s="672"/>
      <c r="B17" s="673"/>
      <c r="C17" s="715"/>
      <c r="D17" s="673"/>
      <c r="E17" s="715"/>
      <c r="F17" s="715"/>
      <c r="G17" s="715"/>
      <c r="H17" s="715"/>
      <c r="I17" s="715"/>
      <c r="J17" s="715"/>
      <c r="K17" s="715"/>
      <c r="L17" s="691"/>
    </row>
    <row r="18" spans="1:16" ht="15.75" x14ac:dyDescent="0.25">
      <c r="A18" s="714" t="s">
        <v>404</v>
      </c>
      <c r="B18" s="675" t="s">
        <v>528</v>
      </c>
      <c r="C18" s="674" t="s">
        <v>528</v>
      </c>
      <c r="D18" s="675" t="s">
        <v>122</v>
      </c>
      <c r="E18" s="674" t="s">
        <v>528</v>
      </c>
      <c r="F18" s="674" t="s">
        <v>171</v>
      </c>
      <c r="G18" s="674" t="s">
        <v>171</v>
      </c>
      <c r="H18" s="674" t="s">
        <v>171</v>
      </c>
      <c r="I18" s="674"/>
      <c r="J18" s="674" t="s">
        <v>171</v>
      </c>
      <c r="K18" s="674" t="s">
        <v>171</v>
      </c>
      <c r="L18" s="691"/>
      <c r="M18" s="101"/>
    </row>
    <row r="19" spans="1:16" ht="15" x14ac:dyDescent="0.2">
      <c r="A19" s="672" t="s">
        <v>725</v>
      </c>
      <c r="B19" s="673">
        <v>1212188</v>
      </c>
      <c r="C19" s="715">
        <v>1240842</v>
      </c>
      <c r="D19" s="715">
        <v>1275253</v>
      </c>
      <c r="E19" s="715">
        <v>1321162</v>
      </c>
      <c r="F19" s="715">
        <v>1377972</v>
      </c>
      <c r="G19" s="715">
        <v>1431713</v>
      </c>
      <c r="H19" s="720">
        <v>1481823</v>
      </c>
      <c r="I19" s="720">
        <v>1521832</v>
      </c>
      <c r="J19" s="720">
        <f>ROUND((+H19*1.027),0)</f>
        <v>1521832</v>
      </c>
      <c r="K19" s="800">
        <v>1564443</v>
      </c>
      <c r="L19" s="719"/>
      <c r="M19" s="101"/>
    </row>
    <row r="20" spans="1:16" ht="15" x14ac:dyDescent="0.2">
      <c r="A20" s="672" t="s">
        <v>402</v>
      </c>
      <c r="B20" s="673">
        <v>86490</v>
      </c>
      <c r="C20" s="715">
        <v>91061</v>
      </c>
      <c r="D20" s="678">
        <v>146453</v>
      </c>
      <c r="E20" s="412">
        <v>117247</v>
      </c>
      <c r="F20" s="715">
        <v>118213</v>
      </c>
      <c r="G20" s="715">
        <v>97743</v>
      </c>
      <c r="H20" s="720">
        <v>60443</v>
      </c>
      <c r="I20" s="720">
        <v>104740</v>
      </c>
      <c r="J20" s="720">
        <v>60443</v>
      </c>
      <c r="K20" s="800">
        <v>57632</v>
      </c>
      <c r="L20" s="412"/>
      <c r="M20" s="101"/>
    </row>
    <row r="21" spans="1:16" ht="15" x14ac:dyDescent="0.2">
      <c r="A21" s="672" t="s">
        <v>595</v>
      </c>
      <c r="B21" s="673">
        <v>38679</v>
      </c>
      <c r="C21" s="715">
        <v>38857</v>
      </c>
      <c r="D21" s="678">
        <v>37727</v>
      </c>
      <c r="E21" s="412">
        <v>37727</v>
      </c>
      <c r="F21" s="715">
        <v>38973</v>
      </c>
      <c r="G21" s="715">
        <v>37382</v>
      </c>
      <c r="H21" s="720">
        <v>38594</v>
      </c>
      <c r="I21" s="720">
        <v>35811</v>
      </c>
      <c r="J21" s="720">
        <v>38594</v>
      </c>
      <c r="K21" s="800">
        <v>48208</v>
      </c>
      <c r="L21" s="412"/>
      <c r="M21" s="101"/>
    </row>
    <row r="22" spans="1:16" ht="15" x14ac:dyDescent="0.2">
      <c r="A22" s="672" t="s">
        <v>403</v>
      </c>
      <c r="B22" s="673">
        <v>120375</v>
      </c>
      <c r="C22" s="715">
        <v>122756</v>
      </c>
      <c r="D22" s="678">
        <v>142331</v>
      </c>
      <c r="E22" s="412">
        <v>142331</v>
      </c>
      <c r="F22" s="715">
        <v>147574</v>
      </c>
      <c r="G22" s="715">
        <v>147574</v>
      </c>
      <c r="H22" s="720">
        <v>192222</v>
      </c>
      <c r="I22" s="720">
        <v>221320</v>
      </c>
      <c r="J22" s="720">
        <v>192222</v>
      </c>
      <c r="K22" s="800">
        <v>220146</v>
      </c>
      <c r="L22" s="412"/>
      <c r="M22" s="101"/>
    </row>
    <row r="23" spans="1:16" ht="15" x14ac:dyDescent="0.2">
      <c r="A23" s="672" t="s">
        <v>432</v>
      </c>
      <c r="B23" s="673">
        <v>11227</v>
      </c>
      <c r="C23" s="715">
        <v>11276</v>
      </c>
      <c r="D23" s="715">
        <v>13751</v>
      </c>
      <c r="E23" s="715">
        <v>12843</v>
      </c>
      <c r="F23" s="715">
        <v>12893</v>
      </c>
      <c r="G23" s="715">
        <v>13611</v>
      </c>
      <c r="H23" s="720">
        <v>14094</v>
      </c>
      <c r="I23" s="720">
        <v>14470</v>
      </c>
      <c r="J23" s="720">
        <v>14094</v>
      </c>
      <c r="K23" s="720">
        <v>14161</v>
      </c>
      <c r="L23" s="412"/>
      <c r="M23" s="101"/>
    </row>
    <row r="24" spans="1:16" ht="15" x14ac:dyDescent="0.2">
      <c r="A24" s="672" t="s">
        <v>405</v>
      </c>
      <c r="B24" s="677">
        <f t="shared" ref="B24:G24" si="4">-B23</f>
        <v>-11227</v>
      </c>
      <c r="C24" s="721">
        <f t="shared" si="4"/>
        <v>-11276</v>
      </c>
      <c r="D24" s="721">
        <f t="shared" si="4"/>
        <v>-13751</v>
      </c>
      <c r="E24" s="721">
        <f t="shared" si="4"/>
        <v>-12843</v>
      </c>
      <c r="F24" s="721">
        <f t="shared" si="4"/>
        <v>-12893</v>
      </c>
      <c r="G24" s="721">
        <f t="shared" si="4"/>
        <v>-13611</v>
      </c>
      <c r="H24" s="720">
        <v>-14094</v>
      </c>
      <c r="I24" s="720">
        <f>-I23</f>
        <v>-14470</v>
      </c>
      <c r="J24" s="720">
        <f>-J23</f>
        <v>-14094</v>
      </c>
      <c r="K24" s="720">
        <f>-K23</f>
        <v>-14161</v>
      </c>
      <c r="L24" s="678"/>
      <c r="M24" s="101"/>
    </row>
    <row r="25" spans="1:16" ht="15" x14ac:dyDescent="0.2">
      <c r="A25" s="672" t="s">
        <v>407</v>
      </c>
      <c r="B25" s="717">
        <f t="shared" ref="B25:F25" si="5">SUM(B19:B24)</f>
        <v>1457732</v>
      </c>
      <c r="C25" s="718">
        <f t="shared" si="5"/>
        <v>1493516</v>
      </c>
      <c r="D25" s="717">
        <f t="shared" si="5"/>
        <v>1601764</v>
      </c>
      <c r="E25" s="718">
        <f t="shared" si="5"/>
        <v>1618467</v>
      </c>
      <c r="F25" s="717">
        <f t="shared" si="5"/>
        <v>1682732</v>
      </c>
      <c r="G25" s="717">
        <f>SUM(G19:G24)</f>
        <v>1714412</v>
      </c>
      <c r="H25" s="717">
        <f>SUM(H19:H24)</f>
        <v>1773082</v>
      </c>
      <c r="I25" s="717">
        <f>SUM(I19:I24)</f>
        <v>1883703</v>
      </c>
      <c r="J25" s="717">
        <f>SUM(J19:J24)</f>
        <v>1813091</v>
      </c>
      <c r="K25" s="717">
        <f>SUM(K19:K24)</f>
        <v>1890429</v>
      </c>
      <c r="L25" s="678"/>
      <c r="M25" s="101"/>
    </row>
    <row r="26" spans="1:16" ht="15" x14ac:dyDescent="0.2">
      <c r="A26" s="672"/>
      <c r="B26" s="673"/>
      <c r="C26" s="715"/>
      <c r="D26" s="673"/>
      <c r="E26" s="715"/>
      <c r="F26" s="673"/>
      <c r="G26" s="673"/>
      <c r="H26" s="672"/>
      <c r="I26" s="672"/>
      <c r="J26" s="672"/>
      <c r="K26" s="672"/>
      <c r="L26" s="691"/>
      <c r="M26" s="101"/>
    </row>
    <row r="27" spans="1:16" ht="15" x14ac:dyDescent="0.2">
      <c r="A27" s="672" t="s">
        <v>781</v>
      </c>
      <c r="B27" s="673">
        <v>-85115</v>
      </c>
      <c r="C27" s="715">
        <v>-75855</v>
      </c>
      <c r="D27" s="673">
        <v>-74473</v>
      </c>
      <c r="E27" s="715">
        <v>-75976</v>
      </c>
      <c r="F27" s="721">
        <v>-98020</v>
      </c>
      <c r="G27" s="721">
        <v>-100906</v>
      </c>
      <c r="H27" s="412">
        <v>-97873</v>
      </c>
      <c r="I27" s="412">
        <v>-91871</v>
      </c>
      <c r="J27" s="412">
        <v>-97873</v>
      </c>
      <c r="K27" s="412">
        <v>-94593</v>
      </c>
      <c r="L27" s="691"/>
      <c r="M27" s="101"/>
    </row>
    <row r="28" spans="1:16" ht="15" x14ac:dyDescent="0.2">
      <c r="A28" s="672" t="s">
        <v>408</v>
      </c>
      <c r="B28" s="717">
        <f t="shared" ref="B28:F28" si="6">+B25+B27</f>
        <v>1372617</v>
      </c>
      <c r="C28" s="718">
        <f t="shared" si="6"/>
        <v>1417661</v>
      </c>
      <c r="D28" s="717">
        <f t="shared" si="6"/>
        <v>1527291</v>
      </c>
      <c r="E28" s="718">
        <f t="shared" si="6"/>
        <v>1542491</v>
      </c>
      <c r="F28" s="717">
        <f t="shared" si="6"/>
        <v>1584712</v>
      </c>
      <c r="G28" s="717">
        <f>+G25+G27</f>
        <v>1613506</v>
      </c>
      <c r="H28" s="717">
        <f>+H25+H27</f>
        <v>1675209</v>
      </c>
      <c r="I28" s="717">
        <f>+I25+I27</f>
        <v>1791832</v>
      </c>
      <c r="J28" s="717">
        <f>+J25+J27</f>
        <v>1715218</v>
      </c>
      <c r="K28" s="717">
        <f>+K25+K27</f>
        <v>1795836</v>
      </c>
      <c r="L28" s="719"/>
      <c r="M28" s="101"/>
    </row>
    <row r="29" spans="1:16" ht="15" x14ac:dyDescent="0.2">
      <c r="A29" s="672"/>
      <c r="B29" s="678"/>
      <c r="C29" s="412"/>
      <c r="D29" s="678"/>
      <c r="E29" s="412"/>
      <c r="F29" s="678"/>
      <c r="G29" s="678"/>
      <c r="H29" s="678"/>
      <c r="I29" s="678"/>
      <c r="J29" s="678"/>
      <c r="K29" s="678"/>
      <c r="L29" s="672"/>
      <c r="M29" s="101"/>
    </row>
    <row r="30" spans="1:16" ht="15" x14ac:dyDescent="0.2">
      <c r="A30" s="673"/>
      <c r="B30" s="673"/>
      <c r="C30" s="673"/>
      <c r="D30" s="673"/>
      <c r="E30" s="715"/>
      <c r="F30" s="673"/>
      <c r="G30" s="673"/>
      <c r="H30" s="673"/>
      <c r="I30" s="673"/>
      <c r="J30" s="673"/>
      <c r="K30" s="673"/>
      <c r="L30" s="672"/>
    </row>
    <row r="31" spans="1:16" ht="15" x14ac:dyDescent="0.2">
      <c r="A31" s="672"/>
      <c r="B31" s="675" t="s">
        <v>334</v>
      </c>
      <c r="C31" s="675" t="s">
        <v>718</v>
      </c>
      <c r="D31" s="675" t="s">
        <v>734</v>
      </c>
      <c r="E31" s="675" t="s">
        <v>802</v>
      </c>
      <c r="F31" s="673" t="s">
        <v>882</v>
      </c>
      <c r="G31" s="673" t="s">
        <v>1010</v>
      </c>
      <c r="H31" s="673" t="s">
        <v>1072</v>
      </c>
      <c r="I31" s="673"/>
      <c r="J31" s="675" t="s">
        <v>1209</v>
      </c>
      <c r="K31" s="675" t="s">
        <v>1359</v>
      </c>
      <c r="L31" s="672"/>
      <c r="M31" s="691"/>
      <c r="N31" s="678"/>
      <c r="O31" s="678"/>
      <c r="P31" s="801"/>
    </row>
    <row r="32" spans="1:16" ht="15.75" x14ac:dyDescent="0.25">
      <c r="A32" s="714" t="s">
        <v>410</v>
      </c>
      <c r="B32" s="675" t="s">
        <v>41</v>
      </c>
      <c r="C32" s="675" t="s">
        <v>41</v>
      </c>
      <c r="D32" s="675" t="s">
        <v>41</v>
      </c>
      <c r="E32" s="674" t="s">
        <v>41</v>
      </c>
      <c r="F32" s="674" t="s">
        <v>41</v>
      </c>
      <c r="G32" s="675" t="s">
        <v>41</v>
      </c>
      <c r="H32" s="675" t="s">
        <v>41</v>
      </c>
      <c r="I32" s="675"/>
      <c r="J32" s="675" t="s">
        <v>523</v>
      </c>
      <c r="K32" s="675" t="s">
        <v>523</v>
      </c>
      <c r="L32" s="672"/>
      <c r="M32" s="723"/>
      <c r="N32" s="801"/>
      <c r="O32" s="801"/>
      <c r="P32" s="801"/>
    </row>
    <row r="33" spans="1:16" ht="15" x14ac:dyDescent="0.2">
      <c r="A33" s="672" t="s">
        <v>411</v>
      </c>
      <c r="B33" s="715">
        <v>658373</v>
      </c>
      <c r="C33" s="715">
        <v>702847</v>
      </c>
      <c r="D33" s="715">
        <v>713101</v>
      </c>
      <c r="E33" s="715">
        <v>655337</v>
      </c>
      <c r="F33" s="715">
        <v>731218</v>
      </c>
      <c r="G33" s="715">
        <v>829212</v>
      </c>
      <c r="H33" s="715">
        <v>821525</v>
      </c>
      <c r="I33" s="715">
        <v>346037</v>
      </c>
      <c r="J33" s="715">
        <v>725000</v>
      </c>
      <c r="K33" s="715">
        <v>700000</v>
      </c>
      <c r="L33" s="672"/>
      <c r="M33" s="691"/>
      <c r="N33" s="412"/>
      <c r="O33" s="412"/>
      <c r="P33" s="412"/>
    </row>
    <row r="34" spans="1:16" ht="15" x14ac:dyDescent="0.2">
      <c r="A34" s="672" t="s">
        <v>412</v>
      </c>
      <c r="B34" s="715">
        <v>1511</v>
      </c>
      <c r="C34" s="715">
        <v>1598</v>
      </c>
      <c r="D34" s="715">
        <v>1718</v>
      </c>
      <c r="E34" s="715">
        <v>1000</v>
      </c>
      <c r="F34" s="715">
        <v>1951</v>
      </c>
      <c r="G34" s="715">
        <v>1376</v>
      </c>
      <c r="H34" s="715">
        <v>1816</v>
      </c>
      <c r="I34" s="715">
        <v>1000</v>
      </c>
      <c r="J34" s="715">
        <v>1000</v>
      </c>
      <c r="K34" s="715">
        <v>1000</v>
      </c>
      <c r="L34" s="672"/>
      <c r="M34" s="691"/>
      <c r="N34" s="412"/>
      <c r="O34" s="412"/>
      <c r="P34" s="412"/>
    </row>
    <row r="35" spans="1:16" ht="15" x14ac:dyDescent="0.2">
      <c r="A35" s="672" t="s">
        <v>1255</v>
      </c>
      <c r="B35" s="715"/>
      <c r="C35" s="715"/>
      <c r="D35" s="715"/>
      <c r="E35" s="715"/>
      <c r="F35" s="715"/>
      <c r="G35" s="715"/>
      <c r="H35" s="715">
        <v>53850</v>
      </c>
      <c r="I35" s="715">
        <v>30000</v>
      </c>
      <c r="J35" s="715">
        <v>30000</v>
      </c>
      <c r="K35" s="715">
        <v>55000</v>
      </c>
      <c r="L35" s="672"/>
      <c r="M35" s="691"/>
      <c r="N35" s="412"/>
      <c r="O35" s="412"/>
      <c r="P35" s="412"/>
    </row>
    <row r="36" spans="1:16" ht="15" x14ac:dyDescent="0.2">
      <c r="A36" s="672" t="s">
        <v>1362</v>
      </c>
      <c r="B36" s="715"/>
      <c r="C36" s="715"/>
      <c r="D36" s="715"/>
      <c r="E36" s="715"/>
      <c r="F36" s="715"/>
      <c r="G36" s="715"/>
      <c r="H36" s="715"/>
      <c r="I36" s="715"/>
      <c r="J36" s="715"/>
      <c r="K36" s="715"/>
      <c r="L36" s="672"/>
      <c r="M36" s="691"/>
      <c r="N36" s="412"/>
      <c r="O36" s="412"/>
      <c r="P36" s="412"/>
    </row>
    <row r="37" spans="1:16" ht="15" x14ac:dyDescent="0.2">
      <c r="A37" s="672" t="s">
        <v>423</v>
      </c>
      <c r="B37" s="715">
        <v>126219</v>
      </c>
      <c r="C37" s="715">
        <v>109239</v>
      </c>
      <c r="D37" s="715">
        <v>114129</v>
      </c>
      <c r="E37" s="715">
        <v>96000</v>
      </c>
      <c r="F37" s="715">
        <v>123780</v>
      </c>
      <c r="G37" s="715">
        <v>177628</v>
      </c>
      <c r="H37" s="715">
        <v>154148</v>
      </c>
      <c r="I37" s="715">
        <v>101000</v>
      </c>
      <c r="J37" s="715">
        <v>101000</v>
      </c>
      <c r="K37" s="715">
        <v>118000</v>
      </c>
      <c r="L37" s="672"/>
      <c r="M37" s="691"/>
      <c r="N37" s="412"/>
      <c r="O37" s="412"/>
      <c r="P37" s="412"/>
    </row>
    <row r="38" spans="1:16" ht="15" x14ac:dyDescent="0.2">
      <c r="A38" s="672" t="s">
        <v>413</v>
      </c>
      <c r="B38" s="715">
        <v>6840</v>
      </c>
      <c r="C38" s="715">
        <v>6192</v>
      </c>
      <c r="D38" s="715">
        <v>7392</v>
      </c>
      <c r="E38" s="715">
        <v>6500</v>
      </c>
      <c r="F38" s="715">
        <v>6576</v>
      </c>
      <c r="G38" s="715">
        <v>5388</v>
      </c>
      <c r="H38" s="715">
        <v>15040</v>
      </c>
      <c r="I38" s="715">
        <v>5000</v>
      </c>
      <c r="J38" s="715">
        <v>5000</v>
      </c>
      <c r="K38" s="715">
        <v>15000</v>
      </c>
      <c r="L38" s="672"/>
      <c r="M38" s="691"/>
      <c r="N38" s="412"/>
      <c r="O38" s="412"/>
      <c r="P38" s="412"/>
    </row>
    <row r="39" spans="1:16" ht="15" x14ac:dyDescent="0.2">
      <c r="A39" s="672" t="s">
        <v>414</v>
      </c>
      <c r="B39" s="715">
        <v>228738</v>
      </c>
      <c r="C39" s="715">
        <v>233722</v>
      </c>
      <c r="D39" s="715">
        <v>234878</v>
      </c>
      <c r="E39" s="715">
        <v>224500</v>
      </c>
      <c r="F39" s="715">
        <v>237475</v>
      </c>
      <c r="G39" s="715">
        <v>249708</v>
      </c>
      <c r="H39" s="715">
        <v>248504</v>
      </c>
      <c r="I39" s="715">
        <v>233000</v>
      </c>
      <c r="J39" s="715">
        <v>233000</v>
      </c>
      <c r="K39" s="715">
        <v>238000</v>
      </c>
      <c r="L39" s="672"/>
      <c r="M39" s="691"/>
      <c r="N39" s="412"/>
      <c r="O39" s="412"/>
      <c r="P39" s="412"/>
    </row>
    <row r="40" spans="1:16" ht="15" x14ac:dyDescent="0.2">
      <c r="A40" s="672" t="s">
        <v>1250</v>
      </c>
      <c r="B40" s="715"/>
      <c r="C40" s="715"/>
      <c r="D40" s="715"/>
      <c r="E40" s="715"/>
      <c r="F40" s="715"/>
      <c r="G40" s="715">
        <v>45050</v>
      </c>
      <c r="H40" s="715">
        <v>77961</v>
      </c>
      <c r="I40" s="715">
        <v>79364</v>
      </c>
      <c r="J40" s="715">
        <f>+J93</f>
        <v>79396</v>
      </c>
      <c r="K40" s="715">
        <v>80793</v>
      </c>
      <c r="L40" s="672"/>
      <c r="M40" s="691"/>
      <c r="N40" s="412"/>
      <c r="O40" s="412"/>
      <c r="P40" s="412"/>
    </row>
    <row r="41" spans="1:16" ht="15" x14ac:dyDescent="0.2">
      <c r="A41" s="672" t="s">
        <v>433</v>
      </c>
      <c r="B41" s="715">
        <v>66434</v>
      </c>
      <c r="C41" s="715">
        <v>78727</v>
      </c>
      <c r="D41" s="715">
        <v>71981</v>
      </c>
      <c r="E41" s="715">
        <v>53935</v>
      </c>
      <c r="F41" s="715">
        <v>72815</v>
      </c>
      <c r="G41" s="715">
        <v>78459</v>
      </c>
      <c r="H41" s="715">
        <v>85879</v>
      </c>
      <c r="I41" s="715">
        <v>52760</v>
      </c>
      <c r="J41" s="715">
        <v>51760</v>
      </c>
      <c r="K41" s="715">
        <v>59760</v>
      </c>
      <c r="L41" s="672"/>
      <c r="M41" s="691"/>
      <c r="N41" s="412"/>
      <c r="O41" s="412"/>
      <c r="P41" s="412"/>
    </row>
    <row r="42" spans="1:16" ht="15" x14ac:dyDescent="0.2">
      <c r="A42" s="672" t="s">
        <v>416</v>
      </c>
      <c r="B42" s="715">
        <v>121240</v>
      </c>
      <c r="C42" s="715">
        <v>109802</v>
      </c>
      <c r="D42" s="715">
        <v>157799</v>
      </c>
      <c r="E42" s="715">
        <v>121450</v>
      </c>
      <c r="F42" s="715">
        <v>193653</v>
      </c>
      <c r="G42" s="715">
        <v>217448</v>
      </c>
      <c r="H42" s="715">
        <v>184765</v>
      </c>
      <c r="I42" s="715">
        <v>136000</v>
      </c>
      <c r="J42" s="715">
        <v>136000</v>
      </c>
      <c r="K42" s="715">
        <v>149000</v>
      </c>
      <c r="L42" s="672"/>
      <c r="M42" s="691"/>
      <c r="N42" s="412"/>
      <c r="O42" s="412"/>
      <c r="P42" s="412"/>
    </row>
    <row r="43" spans="1:16" ht="15" x14ac:dyDescent="0.2">
      <c r="A43" s="672" t="s">
        <v>417</v>
      </c>
      <c r="B43" s="715">
        <v>32615</v>
      </c>
      <c r="C43" s="715">
        <v>54938</v>
      </c>
      <c r="D43" s="715">
        <v>33091</v>
      </c>
      <c r="E43" s="715">
        <v>20850</v>
      </c>
      <c r="F43" s="715">
        <v>23770</v>
      </c>
      <c r="G43" s="715">
        <v>19235</v>
      </c>
      <c r="H43" s="715">
        <v>25548</v>
      </c>
      <c r="I43" s="715">
        <v>14000</v>
      </c>
      <c r="J43" s="715">
        <v>14000</v>
      </c>
      <c r="K43" s="715">
        <v>19000</v>
      </c>
      <c r="L43" s="672"/>
      <c r="M43" s="691"/>
      <c r="N43" s="412"/>
      <c r="O43" s="412"/>
      <c r="P43" s="412"/>
    </row>
    <row r="44" spans="1:16" ht="15" x14ac:dyDescent="0.2">
      <c r="A44" s="672" t="s">
        <v>418</v>
      </c>
      <c r="B44" s="715">
        <v>5231</v>
      </c>
      <c r="C44" s="715">
        <v>3493</v>
      </c>
      <c r="D44" s="715">
        <v>4386</v>
      </c>
      <c r="E44" s="715">
        <v>3400</v>
      </c>
      <c r="F44" s="715">
        <v>8580</v>
      </c>
      <c r="G44" s="715">
        <v>13002</v>
      </c>
      <c r="H44" s="715">
        <v>28236</v>
      </c>
      <c r="I44" s="715">
        <v>9000</v>
      </c>
      <c r="J44" s="715">
        <v>9000</v>
      </c>
      <c r="K44" s="715">
        <v>9000</v>
      </c>
      <c r="L44" s="672"/>
      <c r="M44" s="691"/>
      <c r="N44" s="412"/>
      <c r="O44" s="412"/>
      <c r="P44" s="412"/>
    </row>
    <row r="45" spans="1:16" ht="15" hidden="1" x14ac:dyDescent="0.2">
      <c r="A45" s="672" t="s">
        <v>173</v>
      </c>
      <c r="B45" s="715">
        <v>43790</v>
      </c>
      <c r="C45" s="715">
        <v>40792</v>
      </c>
      <c r="D45" s="715">
        <v>31886</v>
      </c>
      <c r="E45" s="715"/>
      <c r="F45" s="715"/>
      <c r="G45" s="715"/>
      <c r="H45" s="715"/>
      <c r="I45" s="715"/>
      <c r="J45" s="715"/>
      <c r="K45" s="715"/>
      <c r="L45" s="672"/>
      <c r="M45" s="691"/>
      <c r="N45" s="412"/>
      <c r="O45" s="412"/>
      <c r="P45" s="412"/>
    </row>
    <row r="46" spans="1:16" ht="15" x14ac:dyDescent="0.2">
      <c r="A46" s="672" t="s">
        <v>855</v>
      </c>
      <c r="B46" s="715"/>
      <c r="C46" s="715"/>
      <c r="D46" s="715"/>
      <c r="E46" s="715"/>
      <c r="F46" s="715"/>
      <c r="G46" s="715"/>
      <c r="H46" s="715"/>
      <c r="I46" s="715"/>
      <c r="J46" s="715"/>
      <c r="K46" s="715"/>
      <c r="L46" s="672"/>
      <c r="M46" s="691"/>
      <c r="N46" s="412"/>
      <c r="O46" s="412"/>
      <c r="P46" s="412"/>
    </row>
    <row r="47" spans="1:16" ht="15" x14ac:dyDescent="0.2">
      <c r="A47" s="672" t="s">
        <v>421</v>
      </c>
      <c r="B47" s="715">
        <f>100676</f>
        <v>100676</v>
      </c>
      <c r="C47" s="715">
        <v>83047</v>
      </c>
      <c r="D47" s="715">
        <f>128245-D45</f>
        <v>96359</v>
      </c>
      <c r="E47" s="715">
        <f>145900</f>
        <v>145900</v>
      </c>
      <c r="F47" s="715">
        <f>151503</f>
        <v>151503</v>
      </c>
      <c r="G47" s="715">
        <f>143197-G52</f>
        <v>96325</v>
      </c>
      <c r="H47" s="715">
        <f>202200-H52-H53</f>
        <v>88144.62</v>
      </c>
      <c r="I47" s="715">
        <f>171500-I52-I53+1</f>
        <v>72477</v>
      </c>
      <c r="J47" s="715">
        <f>171524-J52-J53</f>
        <v>72500</v>
      </c>
      <c r="K47" s="715">
        <f>193554-K52-K53</f>
        <v>69347</v>
      </c>
      <c r="L47" s="672"/>
      <c r="M47" s="691"/>
      <c r="N47" s="412"/>
      <c r="O47" s="412"/>
      <c r="P47" s="412"/>
    </row>
    <row r="48" spans="1:16" ht="15" x14ac:dyDescent="0.2">
      <c r="A48" s="672" t="s">
        <v>422</v>
      </c>
      <c r="B48" s="721">
        <v>65897</v>
      </c>
      <c r="C48" s="721"/>
      <c r="D48" s="721"/>
      <c r="E48" s="721"/>
      <c r="F48" s="721"/>
      <c r="G48" s="721">
        <v>4683</v>
      </c>
      <c r="H48" s="721">
        <v>-54184</v>
      </c>
      <c r="I48" s="721"/>
      <c r="J48" s="721"/>
      <c r="K48" s="721"/>
      <c r="L48" s="672"/>
      <c r="M48" s="691"/>
      <c r="N48" s="412"/>
      <c r="O48" s="412"/>
      <c r="P48" s="412"/>
    </row>
    <row r="49" spans="1:16" ht="15" x14ac:dyDescent="0.2">
      <c r="A49" s="672" t="s">
        <v>1133</v>
      </c>
      <c r="B49" s="717">
        <f t="shared" ref="B49:J49" si="7">SUM(B33:B48)</f>
        <v>1457564</v>
      </c>
      <c r="C49" s="717">
        <f t="shared" si="7"/>
        <v>1424397</v>
      </c>
      <c r="D49" s="717">
        <f t="shared" si="7"/>
        <v>1466720</v>
      </c>
      <c r="E49" s="718">
        <f t="shared" si="7"/>
        <v>1328872</v>
      </c>
      <c r="F49" s="717">
        <f t="shared" si="7"/>
        <v>1551321</v>
      </c>
      <c r="G49" s="717">
        <f t="shared" si="7"/>
        <v>1737514</v>
      </c>
      <c r="H49" s="717">
        <f t="shared" si="7"/>
        <v>1731232.62</v>
      </c>
      <c r="I49" s="717">
        <f t="shared" si="7"/>
        <v>1079638</v>
      </c>
      <c r="J49" s="717">
        <f t="shared" si="7"/>
        <v>1457656</v>
      </c>
      <c r="K49" s="717">
        <f t="shared" ref="K49" si="8">SUM(K33:K48)</f>
        <v>1513900</v>
      </c>
      <c r="L49" s="719"/>
      <c r="M49" s="691"/>
      <c r="N49" s="678"/>
      <c r="O49" s="678"/>
      <c r="P49" s="678"/>
    </row>
    <row r="50" spans="1:16" ht="15" x14ac:dyDescent="0.2">
      <c r="A50" s="672"/>
      <c r="B50" s="678"/>
      <c r="C50" s="678"/>
      <c r="D50" s="678"/>
      <c r="E50" s="412"/>
      <c r="F50" s="678"/>
      <c r="G50" s="678"/>
      <c r="H50" s="678"/>
      <c r="I50" s="678"/>
      <c r="J50" s="678"/>
      <c r="K50" s="678"/>
      <c r="L50" s="719"/>
      <c r="M50" s="672"/>
      <c r="N50" s="678"/>
      <c r="O50" s="678"/>
      <c r="P50" s="678"/>
    </row>
    <row r="51" spans="1:16" ht="15" x14ac:dyDescent="0.2">
      <c r="A51" s="672" t="s">
        <v>1134</v>
      </c>
      <c r="B51" s="678"/>
      <c r="C51" s="678"/>
      <c r="D51" s="678"/>
      <c r="E51" s="412"/>
      <c r="F51" s="678"/>
      <c r="G51" s="678"/>
      <c r="H51" s="678"/>
      <c r="I51" s="678"/>
      <c r="J51" s="678"/>
      <c r="K51" s="678"/>
      <c r="L51" s="719"/>
      <c r="M51" s="691"/>
      <c r="N51" s="678"/>
      <c r="O51" s="678"/>
      <c r="P51" s="678"/>
    </row>
    <row r="52" spans="1:16" ht="15" x14ac:dyDescent="0.2">
      <c r="A52" s="672" t="s">
        <v>1135</v>
      </c>
      <c r="B52" s="678"/>
      <c r="C52" s="678"/>
      <c r="D52" s="678"/>
      <c r="E52" s="412"/>
      <c r="F52" s="678"/>
      <c r="G52" s="715">
        <v>46872</v>
      </c>
      <c r="H52" s="678">
        <v>76368</v>
      </c>
      <c r="I52" s="678">
        <v>66016</v>
      </c>
      <c r="J52" s="678">
        <v>66016</v>
      </c>
      <c r="K52" s="678">
        <f>ROUND((+'211 Police'!J95),0)</f>
        <v>73957</v>
      </c>
      <c r="L52" s="719"/>
      <c r="M52" s="691"/>
      <c r="N52" s="412"/>
      <c r="O52" s="678"/>
      <c r="P52" s="412"/>
    </row>
    <row r="53" spans="1:16" ht="15" x14ac:dyDescent="0.2">
      <c r="A53" s="672" t="s">
        <v>1185</v>
      </c>
      <c r="B53" s="678"/>
      <c r="C53" s="678"/>
      <c r="D53" s="678"/>
      <c r="E53" s="412"/>
      <c r="F53" s="678"/>
      <c r="G53" s="715"/>
      <c r="H53" s="678">
        <v>37687.379999999997</v>
      </c>
      <c r="I53" s="678">
        <v>33008</v>
      </c>
      <c r="J53" s="678">
        <v>33008</v>
      </c>
      <c r="K53" s="678">
        <f>ROUND((+'211 Police'!K97),0)</f>
        <v>50250</v>
      </c>
      <c r="L53" s="719"/>
      <c r="M53" s="691"/>
      <c r="N53" s="412"/>
      <c r="O53" s="678"/>
      <c r="P53" s="412"/>
    </row>
    <row r="54" spans="1:16" ht="15" x14ac:dyDescent="0.2">
      <c r="A54" s="672" t="s">
        <v>1136</v>
      </c>
      <c r="B54" s="678"/>
      <c r="C54" s="678"/>
      <c r="D54" s="678"/>
      <c r="E54" s="412"/>
      <c r="F54" s="678"/>
      <c r="G54" s="678"/>
      <c r="H54" s="678">
        <v>77961</v>
      </c>
      <c r="I54" s="678">
        <v>79364</v>
      </c>
      <c r="J54" s="678">
        <v>79396</v>
      </c>
      <c r="K54" s="678">
        <f>+K40</f>
        <v>80793</v>
      </c>
      <c r="L54" s="719"/>
      <c r="M54" s="691"/>
      <c r="N54" s="678"/>
      <c r="O54" s="678"/>
      <c r="P54" s="412"/>
    </row>
    <row r="55" spans="1:16" ht="15.75" thickBot="1" x14ac:dyDescent="0.25">
      <c r="A55" s="672" t="s">
        <v>1137</v>
      </c>
      <c r="B55" s="678"/>
      <c r="C55" s="678"/>
      <c r="D55" s="678"/>
      <c r="E55" s="412"/>
      <c r="F55" s="678"/>
      <c r="G55" s="679">
        <f>SUM(G49:G54)</f>
        <v>1784386</v>
      </c>
      <c r="H55" s="679">
        <f>SUM(H49:H54)</f>
        <v>1923249</v>
      </c>
      <c r="I55" s="679">
        <f>SUM(I49:I54)</f>
        <v>1258026</v>
      </c>
      <c r="J55" s="679">
        <f>SUM(J49:J54)</f>
        <v>1636076</v>
      </c>
      <c r="K55" s="679">
        <f>SUM(K49:K54)</f>
        <v>1718900</v>
      </c>
      <c r="L55" s="719"/>
      <c r="M55" s="691"/>
      <c r="N55" s="678"/>
      <c r="O55" s="678"/>
      <c r="P55" s="678"/>
    </row>
    <row r="56" spans="1:16" ht="15.75" thickTop="1" x14ac:dyDescent="0.2">
      <c r="A56" s="672"/>
      <c r="B56" s="673"/>
      <c r="C56" s="673"/>
      <c r="D56" s="673"/>
      <c r="E56" s="715"/>
      <c r="F56" s="673"/>
      <c r="G56" s="673"/>
      <c r="H56" s="673"/>
      <c r="I56" s="673"/>
      <c r="J56" s="673"/>
      <c r="K56" s="673"/>
      <c r="L56" s="672"/>
    </row>
    <row r="57" spans="1:16" ht="15.75" x14ac:dyDescent="0.25">
      <c r="A57" s="714" t="s">
        <v>424</v>
      </c>
      <c r="B57" s="673"/>
      <c r="C57" s="673"/>
      <c r="D57" s="673"/>
      <c r="E57" s="715"/>
      <c r="F57" s="673"/>
      <c r="G57" s="673"/>
      <c r="H57" s="673"/>
      <c r="I57" s="673"/>
      <c r="J57" s="673"/>
      <c r="K57" s="673"/>
      <c r="L57" s="672"/>
    </row>
    <row r="58" spans="1:16" ht="15" x14ac:dyDescent="0.2">
      <c r="A58" s="672" t="s">
        <v>345</v>
      </c>
      <c r="B58" s="673">
        <v>19000</v>
      </c>
      <c r="C58" s="673"/>
      <c r="D58" s="673"/>
      <c r="E58" s="715"/>
      <c r="F58" s="673"/>
      <c r="G58" s="673"/>
      <c r="H58" s="673"/>
      <c r="I58" s="673"/>
      <c r="J58" s="673"/>
      <c r="K58" s="673"/>
      <c r="L58" s="672"/>
    </row>
    <row r="59" spans="1:16" ht="15" x14ac:dyDescent="0.2">
      <c r="A59" s="672" t="s">
        <v>1048</v>
      </c>
      <c r="B59" s="673"/>
      <c r="C59" s="673"/>
      <c r="D59" s="673"/>
      <c r="E59" s="715"/>
      <c r="F59" s="673"/>
      <c r="G59" s="673">
        <v>22850</v>
      </c>
      <c r="H59" s="673"/>
      <c r="I59" s="673"/>
      <c r="J59" s="673"/>
      <c r="K59" s="673">
        <v>15439</v>
      </c>
      <c r="L59" s="672"/>
    </row>
    <row r="60" spans="1:16" ht="15" x14ac:dyDescent="0.2">
      <c r="A60" s="672" t="s">
        <v>660</v>
      </c>
      <c r="B60" s="673"/>
      <c r="C60" s="673"/>
      <c r="D60" s="673"/>
      <c r="E60" s="715"/>
      <c r="F60" s="673"/>
      <c r="G60" s="673"/>
      <c r="H60" s="673"/>
      <c r="I60" s="673"/>
      <c r="J60" s="673"/>
      <c r="K60" s="673"/>
      <c r="L60" s="672"/>
    </row>
    <row r="61" spans="1:16" ht="15" x14ac:dyDescent="0.2">
      <c r="A61" s="672" t="s">
        <v>659</v>
      </c>
      <c r="B61" s="673">
        <v>24000</v>
      </c>
      <c r="C61" s="673"/>
      <c r="D61" s="673"/>
      <c r="E61" s="715"/>
      <c r="F61" s="673"/>
      <c r="G61" s="673"/>
      <c r="H61" s="673">
        <v>53465</v>
      </c>
      <c r="I61" s="673"/>
      <c r="J61" s="673"/>
      <c r="K61" s="673"/>
      <c r="L61" s="672"/>
    </row>
    <row r="62" spans="1:16" ht="15" x14ac:dyDescent="0.2">
      <c r="A62" s="672" t="s">
        <v>1379</v>
      </c>
      <c r="B62" s="673"/>
      <c r="C62" s="673"/>
      <c r="D62" s="673"/>
      <c r="E62" s="715"/>
      <c r="F62" s="673">
        <v>132000</v>
      </c>
      <c r="G62" s="673"/>
      <c r="H62" s="673"/>
      <c r="I62" s="673"/>
      <c r="J62" s="673"/>
      <c r="K62" s="673">
        <v>47.3</v>
      </c>
      <c r="L62" s="672"/>
    </row>
    <row r="63" spans="1:16" ht="15" x14ac:dyDescent="0.2">
      <c r="A63" s="672" t="s">
        <v>1655</v>
      </c>
      <c r="B63" s="673"/>
      <c r="C63" s="673"/>
      <c r="D63" s="673"/>
      <c r="E63" s="715"/>
      <c r="F63" s="673">
        <v>44700</v>
      </c>
      <c r="G63" s="673"/>
      <c r="H63" s="673"/>
      <c r="I63" s="673"/>
      <c r="J63" s="673"/>
      <c r="K63" s="673">
        <v>821</v>
      </c>
      <c r="L63" s="672"/>
    </row>
    <row r="64" spans="1:16" ht="15" x14ac:dyDescent="0.2">
      <c r="A64" s="672" t="s">
        <v>661</v>
      </c>
      <c r="B64" s="673">
        <v>12000</v>
      </c>
      <c r="C64" s="673">
        <v>274055</v>
      </c>
      <c r="D64" s="673">
        <v>113000</v>
      </c>
      <c r="E64" s="715">
        <v>136000</v>
      </c>
      <c r="F64" s="715">
        <f>+'Working Budget with funding det'!P208</f>
        <v>0</v>
      </c>
      <c r="G64" s="715"/>
      <c r="H64" s="715"/>
      <c r="I64" s="715"/>
      <c r="J64" s="715"/>
      <c r="K64" s="715"/>
      <c r="L64" s="672"/>
    </row>
    <row r="65" spans="1:12" ht="15" x14ac:dyDescent="0.2">
      <c r="A65" s="672" t="s">
        <v>707</v>
      </c>
      <c r="B65" s="673">
        <v>154182</v>
      </c>
      <c r="C65" s="673">
        <v>0</v>
      </c>
      <c r="D65" s="673"/>
      <c r="E65" s="715"/>
      <c r="F65" s="673"/>
      <c r="G65" s="673"/>
      <c r="H65" s="673"/>
      <c r="I65" s="673"/>
      <c r="J65" s="673"/>
      <c r="K65" s="673"/>
      <c r="L65" s="672"/>
    </row>
    <row r="66" spans="1:12" ht="15" x14ac:dyDescent="0.2">
      <c r="A66" s="672" t="s">
        <v>970</v>
      </c>
      <c r="B66" s="673"/>
      <c r="C66" s="673"/>
      <c r="D66" s="673">
        <v>15000</v>
      </c>
      <c r="E66" s="715">
        <v>0</v>
      </c>
      <c r="F66" s="673"/>
      <c r="G66" s="673"/>
      <c r="H66" s="673"/>
      <c r="I66" s="673"/>
      <c r="J66" s="673"/>
      <c r="K66" s="673"/>
      <c r="L66" s="672"/>
    </row>
    <row r="67" spans="1:12" ht="15" x14ac:dyDescent="0.2">
      <c r="A67" s="672" t="s">
        <v>94</v>
      </c>
      <c r="B67" s="673">
        <v>89400</v>
      </c>
      <c r="C67" s="673">
        <f>+'Colle 228 183'!D30</f>
        <v>94215.84</v>
      </c>
      <c r="D67" s="673">
        <f>+'Colle 228 183'!I30</f>
        <v>84573.5</v>
      </c>
      <c r="E67" s="715">
        <v>80350</v>
      </c>
      <c r="F67" s="673">
        <v>102150</v>
      </c>
      <c r="G67" s="673">
        <v>97525</v>
      </c>
      <c r="H67" s="673">
        <f>+'Colle 228 183'!I30+150000</f>
        <v>234573.5</v>
      </c>
      <c r="I67" s="673">
        <v>95400</v>
      </c>
      <c r="J67" s="673">
        <v>95400</v>
      </c>
      <c r="K67" s="673">
        <f>+'Colle 228 183'!M30</f>
        <v>79750</v>
      </c>
      <c r="L67" s="672"/>
    </row>
    <row r="68" spans="1:12" ht="15" x14ac:dyDescent="0.2">
      <c r="A68" s="672" t="s">
        <v>428</v>
      </c>
      <c r="B68" s="717">
        <f t="shared" ref="B68:H68" si="9">SUM(B58:B67)</f>
        <v>298582</v>
      </c>
      <c r="C68" s="717">
        <f t="shared" si="9"/>
        <v>368270.83999999997</v>
      </c>
      <c r="D68" s="717">
        <f t="shared" si="9"/>
        <v>212573.5</v>
      </c>
      <c r="E68" s="718">
        <f t="shared" si="9"/>
        <v>216350</v>
      </c>
      <c r="F68" s="717">
        <f t="shared" si="9"/>
        <v>278850</v>
      </c>
      <c r="G68" s="717">
        <f t="shared" si="9"/>
        <v>120375</v>
      </c>
      <c r="H68" s="717">
        <f t="shared" si="9"/>
        <v>288038.5</v>
      </c>
      <c r="I68" s="717">
        <f>SUM(I58:I67)</f>
        <v>95400</v>
      </c>
      <c r="J68" s="717">
        <f>SUM(J58:J67)</f>
        <v>95400</v>
      </c>
      <c r="K68" s="717">
        <f>SUM(K58:K67)</f>
        <v>96057.3</v>
      </c>
      <c r="L68" s="672"/>
    </row>
    <row r="69" spans="1:12" ht="15.75" x14ac:dyDescent="0.25">
      <c r="A69" s="672"/>
      <c r="B69" s="214"/>
      <c r="C69" s="214"/>
      <c r="D69" s="673"/>
      <c r="E69" s="715"/>
      <c r="F69" s="673"/>
      <c r="G69" s="673"/>
      <c r="H69" s="673"/>
      <c r="I69" s="673"/>
      <c r="J69" s="673"/>
      <c r="K69" s="673"/>
      <c r="L69" s="672"/>
    </row>
    <row r="70" spans="1:12" ht="15.75" x14ac:dyDescent="0.25">
      <c r="A70" s="714" t="s">
        <v>425</v>
      </c>
      <c r="B70" s="214"/>
      <c r="C70" s="214"/>
      <c r="D70" s="673"/>
      <c r="E70" s="715"/>
      <c r="F70" s="673"/>
      <c r="G70" s="673"/>
      <c r="H70" s="673"/>
      <c r="I70" s="673"/>
      <c r="J70" s="673"/>
      <c r="K70" s="673"/>
      <c r="L70" s="672"/>
    </row>
    <row r="71" spans="1:12" ht="15" x14ac:dyDescent="0.2">
      <c r="A71" s="672" t="s">
        <v>426</v>
      </c>
      <c r="B71" s="673"/>
      <c r="C71" s="673"/>
      <c r="D71" s="673"/>
      <c r="E71" s="715"/>
      <c r="F71" s="673"/>
      <c r="G71" s="673">
        <v>201000</v>
      </c>
      <c r="H71" s="673">
        <v>194000</v>
      </c>
      <c r="I71" s="673">
        <v>370044</v>
      </c>
      <c r="J71" s="673">
        <f>-463+370507</f>
        <v>370044</v>
      </c>
      <c r="K71" s="673">
        <v>471792</v>
      </c>
      <c r="L71" s="672"/>
    </row>
    <row r="72" spans="1:12" ht="15" x14ac:dyDescent="0.2">
      <c r="A72" s="672" t="s">
        <v>427</v>
      </c>
      <c r="B72" s="677">
        <v>250000</v>
      </c>
      <c r="C72" s="677">
        <v>250000</v>
      </c>
      <c r="D72" s="677">
        <v>250000</v>
      </c>
      <c r="E72" s="721">
        <v>250000</v>
      </c>
      <c r="F72" s="677">
        <v>250000</v>
      </c>
      <c r="G72" s="677">
        <v>200000</v>
      </c>
      <c r="H72" s="721">
        <v>150000</v>
      </c>
      <c r="I72" s="721">
        <v>100000</v>
      </c>
      <c r="J72" s="721">
        <v>100000</v>
      </c>
      <c r="K72" s="721"/>
      <c r="L72" s="672"/>
    </row>
    <row r="73" spans="1:12" ht="15" x14ac:dyDescent="0.2">
      <c r="A73" s="672" t="s">
        <v>429</v>
      </c>
      <c r="B73" s="717">
        <f t="shared" ref="B73:H73" si="10">SUM(B71:B72)</f>
        <v>250000</v>
      </c>
      <c r="C73" s="717">
        <f t="shared" si="10"/>
        <v>250000</v>
      </c>
      <c r="D73" s="717">
        <f t="shared" si="10"/>
        <v>250000</v>
      </c>
      <c r="E73" s="718">
        <f t="shared" si="10"/>
        <v>250000</v>
      </c>
      <c r="F73" s="717">
        <f t="shared" si="10"/>
        <v>250000</v>
      </c>
      <c r="G73" s="717">
        <f>SUM(G71:G72)</f>
        <v>401000</v>
      </c>
      <c r="H73" s="717">
        <f t="shared" si="10"/>
        <v>344000</v>
      </c>
      <c r="I73" s="717">
        <f>SUM(I71:I72)</f>
        <v>470044</v>
      </c>
      <c r="J73" s="717">
        <f>SUM(J71:J72)</f>
        <v>470044</v>
      </c>
      <c r="K73" s="717">
        <f>SUM(K71:K72)</f>
        <v>471792</v>
      </c>
      <c r="L73" s="672"/>
    </row>
    <row r="74" spans="1:12" ht="15" x14ac:dyDescent="0.2">
      <c r="A74" s="672"/>
      <c r="B74" s="673">
        <f>+A74</f>
        <v>0</v>
      </c>
      <c r="C74" s="673">
        <f>+B74</f>
        <v>0</v>
      </c>
      <c r="D74" s="673">
        <f>+C74</f>
        <v>0</v>
      </c>
      <c r="E74" s="715">
        <f>+D74</f>
        <v>0</v>
      </c>
      <c r="F74" s="673">
        <f>+D74</f>
        <v>0</v>
      </c>
      <c r="G74" s="673">
        <f>+E74</f>
        <v>0</v>
      </c>
      <c r="H74" s="673">
        <f>+E74</f>
        <v>0</v>
      </c>
      <c r="I74" s="673"/>
      <c r="J74" s="673">
        <f>+F74</f>
        <v>0</v>
      </c>
      <c r="K74" s="673">
        <f>+G74</f>
        <v>0</v>
      </c>
      <c r="L74" s="672"/>
    </row>
    <row r="75" spans="1:12" ht="15.75" thickBot="1" x14ac:dyDescent="0.25">
      <c r="A75" s="672" t="s">
        <v>538</v>
      </c>
      <c r="B75" s="679">
        <f t="shared" ref="B75:J75" si="11">+B73+B68+B49+B28+B16</f>
        <v>16880330</v>
      </c>
      <c r="C75" s="679">
        <f t="shared" si="11"/>
        <v>17467389.84</v>
      </c>
      <c r="D75" s="679">
        <f t="shared" si="11"/>
        <v>17881047.5</v>
      </c>
      <c r="E75" s="722">
        <f t="shared" si="11"/>
        <v>18250855</v>
      </c>
      <c r="F75" s="679">
        <f t="shared" si="11"/>
        <v>19163541</v>
      </c>
      <c r="G75" s="679">
        <f t="shared" si="11"/>
        <v>20399308.969999999</v>
      </c>
      <c r="H75" s="679">
        <f t="shared" si="11"/>
        <v>21550511.120000001</v>
      </c>
      <c r="I75" s="679">
        <f t="shared" si="11"/>
        <v>22407211</v>
      </c>
      <c r="J75" s="679">
        <f t="shared" si="11"/>
        <v>22092528</v>
      </c>
      <c r="K75" s="679">
        <f>+K73+K68+K49+K28+K16</f>
        <v>23476088.300000001</v>
      </c>
      <c r="L75" s="719"/>
    </row>
    <row r="76" spans="1:12" ht="15.75" thickTop="1" x14ac:dyDescent="0.2">
      <c r="A76" s="672"/>
      <c r="B76" s="673"/>
      <c r="C76" s="673"/>
      <c r="D76" s="673"/>
      <c r="E76" s="715"/>
      <c r="F76" s="673"/>
      <c r="G76" s="673"/>
      <c r="H76" s="673"/>
      <c r="I76" s="673"/>
      <c r="J76" s="673"/>
      <c r="K76" s="673"/>
      <c r="L76" s="672"/>
    </row>
    <row r="77" spans="1:12" ht="15.75" x14ac:dyDescent="0.25">
      <c r="A77" s="723" t="s">
        <v>778</v>
      </c>
      <c r="B77" s="678"/>
      <c r="C77" s="678"/>
      <c r="D77" s="678"/>
      <c r="E77" s="412"/>
      <c r="F77" s="678"/>
      <c r="G77" s="678"/>
      <c r="H77" s="678"/>
      <c r="I77" s="678"/>
      <c r="J77" s="678"/>
      <c r="K77" s="678"/>
      <c r="L77" s="691"/>
    </row>
    <row r="78" spans="1:12" ht="15" x14ac:dyDescent="0.2">
      <c r="A78" s="704" t="s">
        <v>773</v>
      </c>
      <c r="B78" s="678">
        <v>160000</v>
      </c>
      <c r="C78" s="678"/>
      <c r="D78" s="678">
        <v>400000</v>
      </c>
      <c r="E78" s="412">
        <v>1661764</v>
      </c>
      <c r="F78" s="678" t="e">
        <f>SUM(#REF!)</f>
        <v>#REF!</v>
      </c>
      <c r="G78" s="678"/>
      <c r="H78" s="678"/>
      <c r="I78" s="678"/>
      <c r="J78" s="678"/>
      <c r="K78" s="678"/>
      <c r="L78" s="691"/>
    </row>
    <row r="79" spans="1:12" ht="15" x14ac:dyDescent="0.2">
      <c r="A79" s="704" t="s">
        <v>265</v>
      </c>
      <c r="B79" s="677"/>
      <c r="C79" s="677"/>
      <c r="D79" s="677"/>
      <c r="E79" s="721">
        <v>385000</v>
      </c>
      <c r="F79" s="677" t="e">
        <f>SUM(#REF!)</f>
        <v>#REF!</v>
      </c>
      <c r="G79" s="677">
        <v>385000</v>
      </c>
      <c r="H79" s="677">
        <v>521000</v>
      </c>
      <c r="I79" s="677"/>
      <c r="J79" s="677"/>
      <c r="K79" s="677"/>
      <c r="L79" s="691"/>
    </row>
    <row r="80" spans="1:12" ht="15" x14ac:dyDescent="0.2">
      <c r="A80" s="704" t="s">
        <v>779</v>
      </c>
      <c r="B80" s="678">
        <f t="shared" ref="B80:H80" si="12">SUM(B78:B79)</f>
        <v>160000</v>
      </c>
      <c r="C80" s="678">
        <f t="shared" si="12"/>
        <v>0</v>
      </c>
      <c r="D80" s="678">
        <f t="shared" si="12"/>
        <v>400000</v>
      </c>
      <c r="E80" s="412">
        <f t="shared" si="12"/>
        <v>2046764</v>
      </c>
      <c r="F80" s="678" t="e">
        <f t="shared" si="12"/>
        <v>#REF!</v>
      </c>
      <c r="G80" s="678">
        <f>SUM(G78:G79)</f>
        <v>385000</v>
      </c>
      <c r="H80" s="678">
        <f t="shared" si="12"/>
        <v>521000</v>
      </c>
      <c r="I80" s="678"/>
      <c r="J80" s="678">
        <f>SUM(J78:J79)</f>
        <v>0</v>
      </c>
      <c r="K80" s="678">
        <f>SUM(K78:K79)</f>
        <v>0</v>
      </c>
      <c r="L80" s="691"/>
    </row>
    <row r="81" spans="1:12" ht="15" x14ac:dyDescent="0.2">
      <c r="A81" s="700"/>
      <c r="B81" s="678"/>
      <c r="C81" s="678"/>
      <c r="D81" s="678"/>
      <c r="E81" s="412"/>
      <c r="F81" s="678"/>
      <c r="G81" s="678"/>
      <c r="H81" s="678"/>
      <c r="I81" s="678"/>
      <c r="J81" s="678"/>
      <c r="K81" s="678"/>
      <c r="L81" s="691"/>
    </row>
    <row r="82" spans="1:12" ht="15" x14ac:dyDescent="0.2">
      <c r="A82" s="704" t="s">
        <v>704</v>
      </c>
      <c r="B82" s="678">
        <v>1693865</v>
      </c>
      <c r="C82" s="678">
        <v>1866887</v>
      </c>
      <c r="D82" s="678">
        <v>1687525</v>
      </c>
      <c r="E82" s="412">
        <v>1913646</v>
      </c>
      <c r="F82" s="678">
        <v>2250472</v>
      </c>
      <c r="G82" s="678">
        <v>2627714</v>
      </c>
      <c r="H82" s="678">
        <v>2241379</v>
      </c>
      <c r="I82" s="678"/>
      <c r="J82" s="678">
        <v>2230727</v>
      </c>
      <c r="K82" s="678">
        <f>+'Working Budget with funding det'!S208</f>
        <v>2404070</v>
      </c>
      <c r="L82" s="691"/>
    </row>
    <row r="83" spans="1:12" ht="15" x14ac:dyDescent="0.2">
      <c r="A83" s="704" t="s">
        <v>705</v>
      </c>
      <c r="B83" s="678">
        <v>31461</v>
      </c>
      <c r="C83" s="678">
        <v>33809</v>
      </c>
      <c r="D83" s="678">
        <v>27165</v>
      </c>
      <c r="E83" s="412">
        <v>30847</v>
      </c>
      <c r="F83" s="678">
        <v>31987</v>
      </c>
      <c r="G83" s="678">
        <v>33258</v>
      </c>
      <c r="H83" s="678">
        <v>36096</v>
      </c>
      <c r="I83" s="678"/>
      <c r="J83" s="678">
        <v>46984</v>
      </c>
      <c r="K83" s="678">
        <f>+'Working Budget with funding det'!T208</f>
        <v>59089</v>
      </c>
      <c r="L83" s="691"/>
    </row>
    <row r="84" spans="1:12" ht="15" x14ac:dyDescent="0.2">
      <c r="A84" s="724"/>
      <c r="B84" s="678"/>
      <c r="C84" s="678"/>
      <c r="D84" s="678"/>
      <c r="E84" s="412"/>
      <c r="F84" s="678"/>
      <c r="G84" s="678"/>
      <c r="H84" s="678"/>
      <c r="I84" s="678"/>
      <c r="J84" s="678"/>
      <c r="K84" s="678"/>
      <c r="L84" s="691"/>
    </row>
    <row r="85" spans="1:12" ht="15.75" thickBot="1" x14ac:dyDescent="0.25">
      <c r="A85" s="704" t="s">
        <v>780</v>
      </c>
      <c r="B85" s="679">
        <f t="shared" ref="B85:H85" si="13">+B83+B82+B80+B75</f>
        <v>18765656</v>
      </c>
      <c r="C85" s="679">
        <f t="shared" si="13"/>
        <v>19368085.84</v>
      </c>
      <c r="D85" s="679">
        <f t="shared" si="13"/>
        <v>19995737.5</v>
      </c>
      <c r="E85" s="722">
        <f t="shared" si="13"/>
        <v>22242112</v>
      </c>
      <c r="F85" s="679" t="e">
        <f t="shared" si="13"/>
        <v>#REF!</v>
      </c>
      <c r="G85" s="679">
        <f>+G83+G82+G80+G75</f>
        <v>23445280.969999999</v>
      </c>
      <c r="H85" s="679">
        <f t="shared" si="13"/>
        <v>24348986.120000001</v>
      </c>
      <c r="I85" s="679"/>
      <c r="J85" s="679">
        <f>+J83+J82+J80+J75</f>
        <v>24370239</v>
      </c>
      <c r="K85" s="679">
        <f>+K83+K82+K80+K75</f>
        <v>25939247.300000001</v>
      </c>
      <c r="L85" s="691"/>
    </row>
    <row r="86" spans="1:12" ht="15.75" thickTop="1" x14ac:dyDescent="0.2">
      <c r="A86" s="691"/>
      <c r="B86" s="678"/>
      <c r="C86" s="678"/>
      <c r="D86" s="678"/>
      <c r="E86" s="678"/>
      <c r="F86" s="678"/>
      <c r="G86" s="678"/>
      <c r="H86" s="678"/>
      <c r="I86" s="678"/>
      <c r="J86" s="678"/>
      <c r="K86" s="678"/>
      <c r="L86" s="691"/>
    </row>
    <row r="87" spans="1:12" ht="15" x14ac:dyDescent="0.2">
      <c r="A87" s="691"/>
      <c r="B87" s="678"/>
      <c r="C87" s="678"/>
      <c r="D87" s="678"/>
      <c r="E87" s="678"/>
      <c r="F87" s="678"/>
      <c r="G87" s="678"/>
      <c r="H87" s="678"/>
      <c r="I87" s="678"/>
      <c r="J87" s="678"/>
      <c r="K87" s="678"/>
      <c r="L87" s="691"/>
    </row>
    <row r="88" spans="1:12" ht="15" x14ac:dyDescent="0.2">
      <c r="A88" s="672"/>
      <c r="B88" s="673"/>
      <c r="C88" s="673"/>
      <c r="D88" s="673"/>
      <c r="E88" s="673"/>
      <c r="F88" s="673"/>
      <c r="G88" s="673"/>
      <c r="H88" s="673"/>
      <c r="I88" s="673"/>
      <c r="J88" s="673"/>
      <c r="K88" s="673"/>
      <c r="L88" s="672"/>
    </row>
    <row r="89" spans="1:12" ht="15" x14ac:dyDescent="0.2">
      <c r="A89" s="672"/>
      <c r="B89" s="673"/>
      <c r="C89" s="673"/>
      <c r="D89" s="673"/>
      <c r="E89" s="673"/>
      <c r="F89" s="673"/>
      <c r="G89" s="673"/>
      <c r="H89" s="673"/>
      <c r="I89" s="673"/>
      <c r="J89" s="673"/>
      <c r="K89" s="673"/>
      <c r="L89" s="672"/>
    </row>
    <row r="90" spans="1:12" ht="15" x14ac:dyDescent="0.2">
      <c r="A90" s="686" t="s">
        <v>1241</v>
      </c>
      <c r="B90" s="717"/>
      <c r="C90" s="717"/>
      <c r="D90" s="717"/>
      <c r="E90" s="717"/>
      <c r="F90" s="717"/>
      <c r="G90" s="717"/>
      <c r="H90" s="717"/>
      <c r="I90" s="717"/>
      <c r="J90" s="738"/>
      <c r="K90" s="738"/>
      <c r="L90" s="672"/>
    </row>
    <row r="91" spans="1:12" ht="15" x14ac:dyDescent="0.2">
      <c r="A91" s="690" t="s">
        <v>431</v>
      </c>
      <c r="B91" s="678"/>
      <c r="C91" s="678"/>
      <c r="D91" s="678"/>
      <c r="E91" s="678"/>
      <c r="F91" s="678"/>
      <c r="G91" s="678"/>
      <c r="H91" s="678"/>
      <c r="I91" s="678"/>
      <c r="J91" s="739">
        <v>158792</v>
      </c>
      <c r="K91" s="739">
        <v>161586</v>
      </c>
      <c r="L91" s="672"/>
    </row>
    <row r="92" spans="1:12" ht="15" x14ac:dyDescent="0.2">
      <c r="A92" s="690"/>
      <c r="B92" s="678"/>
      <c r="C92" s="678"/>
      <c r="D92" s="678"/>
      <c r="E92" s="678"/>
      <c r="F92" s="678"/>
      <c r="G92" s="678"/>
      <c r="H92" s="678"/>
      <c r="I92" s="678"/>
      <c r="J92" s="739"/>
      <c r="K92" s="739"/>
      <c r="L92" s="672"/>
    </row>
    <row r="93" spans="1:12" ht="15" x14ac:dyDescent="0.2">
      <c r="A93" s="690" t="s">
        <v>1249</v>
      </c>
      <c r="B93" s="678"/>
      <c r="C93" s="678"/>
      <c r="D93" s="678"/>
      <c r="E93" s="678"/>
      <c r="F93" s="678"/>
      <c r="G93" s="678"/>
      <c r="H93" s="678"/>
      <c r="I93" s="678"/>
      <c r="J93" s="741">
        <f>ROUND((+J91/2),0)</f>
        <v>79396</v>
      </c>
      <c r="K93" s="741">
        <f>ROUND((+K91/2),0)</f>
        <v>80793</v>
      </c>
      <c r="L93" s="672"/>
    </row>
    <row r="94" spans="1:12" ht="15" x14ac:dyDescent="0.2">
      <c r="A94" s="690" t="s">
        <v>1242</v>
      </c>
      <c r="B94" s="678"/>
      <c r="C94" s="678"/>
      <c r="D94" s="678"/>
      <c r="E94" s="678"/>
      <c r="F94" s="678"/>
      <c r="G94" s="678"/>
      <c r="H94" s="678"/>
      <c r="I94" s="678"/>
      <c r="J94" s="742">
        <f>+J93</f>
        <v>79396</v>
      </c>
      <c r="K94" s="742">
        <f>+K93</f>
        <v>80793</v>
      </c>
      <c r="L94" s="672"/>
    </row>
    <row r="95" spans="1:12" ht="15" x14ac:dyDescent="0.2">
      <c r="A95" s="690"/>
      <c r="B95" s="678"/>
      <c r="C95" s="678"/>
      <c r="D95" s="678"/>
      <c r="E95" s="678"/>
      <c r="F95" s="678"/>
      <c r="G95" s="678"/>
      <c r="H95" s="678"/>
      <c r="I95" s="678"/>
      <c r="J95" s="739"/>
      <c r="K95" s="739"/>
      <c r="L95" s="672"/>
    </row>
    <row r="96" spans="1:12" ht="15" x14ac:dyDescent="0.2">
      <c r="A96" s="690" t="s">
        <v>1243</v>
      </c>
      <c r="B96" s="678"/>
      <c r="C96" s="678"/>
      <c r="D96" s="678"/>
      <c r="E96" s="678"/>
      <c r="F96" s="678"/>
      <c r="G96" s="678"/>
      <c r="H96" s="678"/>
      <c r="I96" s="678"/>
      <c r="J96" s="741">
        <f>ROUND((+J93*0.485),0)</f>
        <v>38507</v>
      </c>
      <c r="K96" s="741">
        <f>ROUND((+K93*0.485),0)</f>
        <v>39185</v>
      </c>
      <c r="L96" s="672"/>
    </row>
    <row r="97" spans="1:12" ht="15" x14ac:dyDescent="0.2">
      <c r="A97" s="690" t="s">
        <v>1244</v>
      </c>
      <c r="B97" s="678"/>
      <c r="C97" s="678"/>
      <c r="D97" s="678"/>
      <c r="E97" s="678"/>
      <c r="F97" s="678"/>
      <c r="G97" s="678"/>
      <c r="H97" s="678"/>
      <c r="I97" s="678"/>
      <c r="J97" s="743">
        <f>+J93-J96</f>
        <v>40889</v>
      </c>
      <c r="K97" s="743">
        <f>+K93-K96</f>
        <v>41608</v>
      </c>
      <c r="L97" s="672"/>
    </row>
    <row r="98" spans="1:12" ht="15" x14ac:dyDescent="0.2">
      <c r="A98" s="690"/>
      <c r="B98" s="678"/>
      <c r="C98" s="678"/>
      <c r="D98" s="678"/>
      <c r="E98" s="678"/>
      <c r="F98" s="678"/>
      <c r="G98" s="678"/>
      <c r="H98" s="678"/>
      <c r="I98" s="678"/>
      <c r="J98" s="743"/>
      <c r="K98" s="743"/>
      <c r="L98" s="672"/>
    </row>
    <row r="99" spans="1:12" ht="15" x14ac:dyDescent="0.2">
      <c r="A99" s="690" t="s">
        <v>1245</v>
      </c>
      <c r="B99" s="678"/>
      <c r="C99" s="678"/>
      <c r="D99" s="678"/>
      <c r="E99" s="678"/>
      <c r="F99" s="678"/>
      <c r="G99" s="678"/>
      <c r="H99" s="678"/>
      <c r="I99" s="678"/>
      <c r="J99" s="743">
        <f>+J96</f>
        <v>38507</v>
      </c>
      <c r="K99" s="743">
        <f>+K96</f>
        <v>39185</v>
      </c>
      <c r="L99" s="672"/>
    </row>
    <row r="100" spans="1:12" ht="15" x14ac:dyDescent="0.2">
      <c r="A100" s="690" t="s">
        <v>1246</v>
      </c>
      <c r="B100" s="678"/>
      <c r="C100" s="678"/>
      <c r="D100" s="678"/>
      <c r="E100" s="678"/>
      <c r="F100" s="678"/>
      <c r="G100" s="678"/>
      <c r="H100" s="678"/>
      <c r="I100" s="678"/>
      <c r="J100" s="742">
        <f>+J97</f>
        <v>40889</v>
      </c>
      <c r="K100" s="742">
        <f>+K97</f>
        <v>41608</v>
      </c>
      <c r="L100" s="672"/>
    </row>
    <row r="101" spans="1:12" ht="15" x14ac:dyDescent="0.2">
      <c r="A101" s="690"/>
      <c r="B101" s="678"/>
      <c r="C101" s="678"/>
      <c r="D101" s="678"/>
      <c r="E101" s="678"/>
      <c r="F101" s="678"/>
      <c r="G101" s="678"/>
      <c r="H101" s="678"/>
      <c r="I101" s="678"/>
      <c r="J101" s="739"/>
      <c r="K101" s="739"/>
      <c r="L101" s="672"/>
    </row>
    <row r="102" spans="1:12" ht="15" x14ac:dyDescent="0.2">
      <c r="A102" s="696" t="s">
        <v>1247</v>
      </c>
      <c r="B102" s="677"/>
      <c r="C102" s="677"/>
      <c r="D102" s="677"/>
      <c r="E102" s="677"/>
      <c r="F102" s="677"/>
      <c r="G102" s="677"/>
      <c r="H102" s="677"/>
      <c r="I102" s="677"/>
      <c r="J102" s="740">
        <f>SUM(J96:J100)</f>
        <v>158792</v>
      </c>
      <c r="K102" s="740">
        <f>SUM(K96:K100)</f>
        <v>161586</v>
      </c>
      <c r="L102" s="672"/>
    </row>
    <row r="103" spans="1:12" ht="15" x14ac:dyDescent="0.2">
      <c r="A103" s="672"/>
      <c r="B103" s="673"/>
      <c r="C103" s="673"/>
      <c r="D103" s="673"/>
      <c r="E103" s="673"/>
      <c r="F103" s="673"/>
      <c r="G103" s="673"/>
      <c r="H103" s="673"/>
      <c r="I103" s="673"/>
      <c r="J103" s="673"/>
      <c r="K103" s="673"/>
      <c r="L103" s="672"/>
    </row>
    <row r="104" spans="1:12" ht="15" x14ac:dyDescent="0.2">
      <c r="A104" s="672"/>
      <c r="B104" s="673"/>
      <c r="C104" s="673"/>
      <c r="D104" s="673"/>
      <c r="E104" s="673"/>
      <c r="F104" s="673"/>
      <c r="G104" s="673"/>
      <c r="H104" s="673"/>
      <c r="I104" s="673"/>
      <c r="J104" s="673"/>
      <c r="K104" s="673"/>
      <c r="L104" s="672"/>
    </row>
    <row r="105" spans="1:12" x14ac:dyDescent="0.2">
      <c r="B105" s="59"/>
    </row>
    <row r="106" spans="1:12" ht="157.5" customHeight="1" x14ac:dyDescent="0.2">
      <c r="A106" s="880" t="s">
        <v>1248</v>
      </c>
      <c r="B106" s="880"/>
      <c r="C106" s="880"/>
      <c r="D106" s="880"/>
      <c r="E106" s="880"/>
      <c r="F106" s="880"/>
      <c r="G106" s="880"/>
      <c r="H106" s="880"/>
      <c r="I106" s="880"/>
      <c r="J106" s="880"/>
      <c r="K106" s="777"/>
    </row>
    <row r="121" spans="2:3" x14ac:dyDescent="0.2">
      <c r="B121" s="61"/>
      <c r="C121" s="61"/>
    </row>
    <row r="137" spans="2:3" x14ac:dyDescent="0.2">
      <c r="B137" s="61"/>
      <c r="C137" s="61"/>
    </row>
    <row r="146" spans="2:3" x14ac:dyDescent="0.2">
      <c r="B146" s="61"/>
      <c r="C146" s="61"/>
    </row>
    <row r="152" spans="2:3" x14ac:dyDescent="0.2">
      <c r="B152" s="61"/>
      <c r="C152" s="61"/>
    </row>
    <row r="161" spans="2:3" x14ac:dyDescent="0.2">
      <c r="B161" s="61"/>
      <c r="C161" s="61"/>
    </row>
    <row r="176" spans="2:3" x14ac:dyDescent="0.2">
      <c r="B176" s="61"/>
      <c r="C176" s="61"/>
    </row>
    <row r="177" spans="2:3" x14ac:dyDescent="0.2">
      <c r="B177" s="59"/>
      <c r="C177" s="59"/>
    </row>
    <row r="187" spans="2:3" x14ac:dyDescent="0.2">
      <c r="B187" s="58"/>
      <c r="C187" s="58"/>
    </row>
  </sheetData>
  <mergeCells count="1">
    <mergeCell ref="A106:J106"/>
  </mergeCells>
  <phoneticPr fontId="0" type="noConversion"/>
  <hyperlinks>
    <hyperlink ref="A2" location="'Table of Contents'!A1" display="TOC"/>
  </hyperlinks>
  <pageMargins left="0.75" right="0.75" top="1" bottom="1" header="0.5" footer="0.5"/>
  <pageSetup scale="93" fitToHeight="0" orientation="portrait" horizontalDpi="300" verticalDpi="300" r:id="rId1"/>
  <headerFooter alignWithMargins="0">
    <oddFooter>&amp;L&amp;D &amp;T&amp;C&amp;F&amp;R&amp;A  &amp;P</oddFooter>
  </headerFooter>
  <rowBreaks count="1" manualBreakCount="1">
    <brk id="46" min="7"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zoomScale="85" zoomScaleNormal="85" workbookViewId="0">
      <pane ySplit="7" topLeftCell="A8" activePane="bottomLeft" state="frozen"/>
      <selection activeCell="K15" sqref="K15"/>
      <selection pane="bottomLeft" activeCell="O18" sqref="O18"/>
    </sheetView>
  </sheetViews>
  <sheetFormatPr defaultRowHeight="12.75" x14ac:dyDescent="0.2"/>
  <cols>
    <col min="1" max="1" width="11.83203125" customWidth="1"/>
    <col min="2" max="2" width="39.1640625" customWidth="1"/>
    <col min="3" max="3" width="14.5" style="1" hidden="1" customWidth="1"/>
    <col min="4" max="7" width="14.5" style="121" hidden="1" customWidth="1"/>
    <col min="8" max="8" width="14.5" style="121" customWidth="1"/>
    <col min="9" max="10" width="14.5" style="87" customWidth="1"/>
    <col min="11" max="13" width="14.5" customWidth="1"/>
    <col min="14" max="14" width="14.1640625" style="25" customWidth="1"/>
    <col min="15" max="16" width="15.1640625" customWidth="1"/>
    <col min="17" max="17" width="14.6640625" customWidth="1"/>
  </cols>
  <sheetData>
    <row r="1" spans="1:17" x14ac:dyDescent="0.2">
      <c r="A1" s="410" t="s">
        <v>1013</v>
      </c>
      <c r="B1" s="410" t="s">
        <v>1418</v>
      </c>
      <c r="D1" s="235"/>
      <c r="E1" s="235"/>
      <c r="F1" s="235"/>
      <c r="G1" s="235"/>
      <c r="H1" s="235"/>
      <c r="I1" s="235"/>
      <c r="J1" s="235"/>
      <c r="L1" s="1"/>
    </row>
    <row r="2" spans="1:17" ht="15" x14ac:dyDescent="0.25">
      <c r="A2" s="49" t="s">
        <v>4</v>
      </c>
      <c r="B2" s="49"/>
      <c r="E2" s="153"/>
      <c r="H2" s="153" t="s">
        <v>252</v>
      </c>
      <c r="I2" s="153"/>
      <c r="J2" s="153"/>
      <c r="K2" s="67" t="s">
        <v>5</v>
      </c>
      <c r="L2" s="1"/>
      <c r="M2" s="50" t="s">
        <v>6</v>
      </c>
    </row>
    <row r="3" spans="1:17" ht="13.5" thickBot="1" x14ac:dyDescent="0.25">
      <c r="A3" s="4"/>
      <c r="B3" s="4"/>
      <c r="C3" s="25"/>
      <c r="D3" s="25"/>
      <c r="E3" s="25"/>
      <c r="F3" s="25"/>
      <c r="G3" s="25"/>
      <c r="H3" s="25"/>
      <c r="I3" s="25"/>
      <c r="J3" s="25"/>
      <c r="K3" s="4"/>
      <c r="L3" s="25"/>
      <c r="M3" s="4"/>
      <c r="P3" s="28"/>
      <c r="Q3" s="101"/>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c r="Q4" s="101"/>
    </row>
    <row r="5" spans="1:17" x14ac:dyDescent="0.2">
      <c r="A5" s="93"/>
      <c r="B5" s="216"/>
      <c r="C5" s="137"/>
      <c r="D5" s="94"/>
      <c r="E5" s="120"/>
      <c r="F5" s="94"/>
      <c r="G5" s="94"/>
      <c r="H5" s="120"/>
      <c r="I5" s="318"/>
      <c r="J5" s="318"/>
      <c r="K5" s="120" t="s">
        <v>509</v>
      </c>
      <c r="L5" s="95" t="s">
        <v>7</v>
      </c>
      <c r="M5" s="209" t="s">
        <v>783</v>
      </c>
      <c r="Q5" s="101"/>
    </row>
    <row r="6" spans="1:17" x14ac:dyDescent="0.2">
      <c r="A6" s="93"/>
      <c r="B6" s="216"/>
      <c r="C6" s="137"/>
      <c r="D6" s="137"/>
      <c r="E6" s="137"/>
      <c r="F6" s="137"/>
      <c r="G6" s="137"/>
      <c r="H6" s="137"/>
      <c r="I6" s="95"/>
      <c r="J6" s="95"/>
      <c r="K6" s="137"/>
      <c r="L6" s="95" t="s">
        <v>8</v>
      </c>
      <c r="M6" s="51" t="s">
        <v>537</v>
      </c>
      <c r="Q6" s="101"/>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c r="Q7" s="225"/>
    </row>
    <row r="8" spans="1:17" ht="13.5" thickTop="1" x14ac:dyDescent="0.2">
      <c r="A8" s="30"/>
      <c r="B8" s="218"/>
      <c r="C8" s="142"/>
      <c r="D8" s="19"/>
      <c r="E8" s="19"/>
      <c r="F8" s="19"/>
      <c r="G8" s="19"/>
      <c r="H8" s="19"/>
      <c r="I8" s="20"/>
      <c r="J8" s="20"/>
      <c r="K8" s="19"/>
      <c r="L8" s="20"/>
      <c r="M8" s="20"/>
      <c r="P8" s="101"/>
      <c r="Q8" s="101"/>
    </row>
    <row r="9" spans="1:17" x14ac:dyDescent="0.2">
      <c r="A9" s="12"/>
      <c r="B9" s="69"/>
      <c r="C9" s="140"/>
      <c r="D9" s="14"/>
      <c r="E9" s="14"/>
      <c r="F9" s="14"/>
      <c r="G9" s="14"/>
      <c r="H9" s="14"/>
      <c r="I9" s="14"/>
      <c r="J9" s="15"/>
      <c r="K9" s="14"/>
      <c r="L9" s="15"/>
      <c r="M9" s="15"/>
      <c r="P9" s="101"/>
      <c r="Q9" s="101"/>
    </row>
    <row r="10" spans="1:17" x14ac:dyDescent="0.2">
      <c r="A10" s="12" t="s">
        <v>61</v>
      </c>
      <c r="B10" s="69" t="s">
        <v>71</v>
      </c>
      <c r="C10" s="140">
        <v>17860.46</v>
      </c>
      <c r="D10" s="14">
        <v>18618.21</v>
      </c>
      <c r="E10" s="14">
        <v>18675.71</v>
      </c>
      <c r="F10" s="14">
        <v>20061.82</v>
      </c>
      <c r="G10" s="14">
        <v>18262.55</v>
      </c>
      <c r="H10" s="14">
        <v>18055.12</v>
      </c>
      <c r="I10" s="156">
        <v>18198.669999999998</v>
      </c>
      <c r="J10" s="132">
        <v>24000</v>
      </c>
      <c r="K10" s="14">
        <v>9694.2900000000009</v>
      </c>
      <c r="L10" s="132">
        <v>24000</v>
      </c>
      <c r="M10" s="132"/>
      <c r="N10" s="879"/>
      <c r="O10" s="101"/>
      <c r="P10" s="101"/>
      <c r="Q10" s="59"/>
    </row>
    <row r="11" spans="1:17" x14ac:dyDescent="0.2">
      <c r="A11" s="12" t="s">
        <v>26</v>
      </c>
      <c r="B11" s="69" t="s">
        <v>27</v>
      </c>
      <c r="C11" s="140">
        <v>418.21</v>
      </c>
      <c r="D11" s="14">
        <v>455.51</v>
      </c>
      <c r="E11" s="14">
        <v>520.94000000000005</v>
      </c>
      <c r="F11" s="14">
        <v>468.41</v>
      </c>
      <c r="G11" s="14">
        <v>598.34</v>
      </c>
      <c r="H11" s="14">
        <v>430.31</v>
      </c>
      <c r="I11" s="156">
        <v>493.42</v>
      </c>
      <c r="J11" s="132">
        <v>550</v>
      </c>
      <c r="K11" s="14">
        <v>302.77999999999997</v>
      </c>
      <c r="L11" s="132">
        <v>600</v>
      </c>
      <c r="M11" s="132"/>
      <c r="P11" s="101"/>
      <c r="Q11" s="59"/>
    </row>
    <row r="12" spans="1:17" hidden="1" x14ac:dyDescent="0.2">
      <c r="A12" s="12" t="s">
        <v>956</v>
      </c>
      <c r="B12" s="69" t="s">
        <v>957</v>
      </c>
      <c r="C12" s="140"/>
      <c r="D12" s="14"/>
      <c r="E12" s="14"/>
      <c r="F12" s="14">
        <v>2761.26</v>
      </c>
      <c r="G12" s="14"/>
      <c r="H12" s="14"/>
      <c r="I12" s="156"/>
      <c r="J12" s="132"/>
      <c r="K12" s="14"/>
      <c r="L12" s="132"/>
      <c r="M12" s="132"/>
      <c r="P12" s="101"/>
      <c r="Q12" s="59"/>
    </row>
    <row r="13" spans="1:17" x14ac:dyDescent="0.2">
      <c r="A13" s="12" t="s">
        <v>15</v>
      </c>
      <c r="B13" s="69" t="s">
        <v>16</v>
      </c>
      <c r="C13" s="140">
        <v>30066.65</v>
      </c>
      <c r="D13" s="14">
        <v>32695.66</v>
      </c>
      <c r="E13" s="14">
        <v>29432.98</v>
      </c>
      <c r="F13" s="14">
        <v>33080.11</v>
      </c>
      <c r="G13" s="14">
        <v>30230.91</v>
      </c>
      <c r="H13" s="14">
        <v>31793.09</v>
      </c>
      <c r="I13" s="156">
        <v>26843.79</v>
      </c>
      <c r="J13" s="132">
        <v>36000</v>
      </c>
      <c r="K13" s="14">
        <v>7864.03</v>
      </c>
      <c r="L13" s="132">
        <v>36000</v>
      </c>
      <c r="M13" s="132"/>
      <c r="P13" s="59"/>
      <c r="Q13" s="101"/>
    </row>
    <row r="14" spans="1:17" x14ac:dyDescent="0.2">
      <c r="A14" s="12" t="s">
        <v>60</v>
      </c>
      <c r="B14" s="69" t="s">
        <v>72</v>
      </c>
      <c r="C14" s="140">
        <v>6158.88</v>
      </c>
      <c r="D14" s="14">
        <v>6302.72</v>
      </c>
      <c r="E14" s="14">
        <v>6068.61</v>
      </c>
      <c r="F14" s="14">
        <v>5878.49</v>
      </c>
      <c r="G14" s="14">
        <v>5082.01</v>
      </c>
      <c r="H14" s="14">
        <v>5663.22</v>
      </c>
      <c r="I14" s="156">
        <v>5872</v>
      </c>
      <c r="J14" s="132">
        <v>7000</v>
      </c>
      <c r="K14" s="14">
        <v>2274.04</v>
      </c>
      <c r="L14" s="132">
        <v>18000</v>
      </c>
      <c r="M14" s="132"/>
      <c r="P14" s="101"/>
      <c r="Q14" s="59"/>
    </row>
    <row r="15" spans="1:17" x14ac:dyDescent="0.2">
      <c r="A15" s="12" t="s">
        <v>610</v>
      </c>
      <c r="B15" s="69" t="s">
        <v>799</v>
      </c>
      <c r="C15" s="140">
        <v>3735.02</v>
      </c>
      <c r="D15" s="14">
        <v>3841.24</v>
      </c>
      <c r="E15" s="14">
        <v>3791.57</v>
      </c>
      <c r="F15" s="14">
        <v>3702.44</v>
      </c>
      <c r="G15" s="14">
        <v>3833.66</v>
      </c>
      <c r="H15" s="14">
        <v>4323.21</v>
      </c>
      <c r="I15" s="156">
        <v>4665</v>
      </c>
      <c r="J15" s="132">
        <v>4800</v>
      </c>
      <c r="K15" s="14">
        <v>2367</v>
      </c>
      <c r="L15" s="132">
        <v>6000</v>
      </c>
      <c r="M15" s="132"/>
      <c r="P15" s="101"/>
      <c r="Q15" s="59"/>
    </row>
    <row r="16" spans="1:17" x14ac:dyDescent="0.2">
      <c r="A16" s="12" t="s">
        <v>24</v>
      </c>
      <c r="B16" s="69" t="s">
        <v>73</v>
      </c>
      <c r="C16" s="140">
        <v>2394.5</v>
      </c>
      <c r="D16" s="14">
        <v>2061.5700000000002</v>
      </c>
      <c r="E16" s="14">
        <v>1032.4000000000001</v>
      </c>
      <c r="F16" s="14">
        <v>749.36</v>
      </c>
      <c r="G16" s="14">
        <v>826.63</v>
      </c>
      <c r="H16" s="14">
        <v>911.65</v>
      </c>
      <c r="I16" s="156">
        <v>853.27</v>
      </c>
      <c r="J16" s="132">
        <v>2000</v>
      </c>
      <c r="K16" s="14">
        <v>174.36</v>
      </c>
      <c r="L16" s="132">
        <v>1500</v>
      </c>
      <c r="M16" s="132"/>
      <c r="P16" s="101"/>
      <c r="Q16" s="59"/>
    </row>
    <row r="17" spans="1:17" x14ac:dyDescent="0.2">
      <c r="A17" s="12" t="s">
        <v>25</v>
      </c>
      <c r="B17" s="69" t="s">
        <v>74</v>
      </c>
      <c r="C17" s="140">
        <v>2549.33</v>
      </c>
      <c r="D17" s="14">
        <v>2900.08</v>
      </c>
      <c r="E17" s="14">
        <v>2577.86</v>
      </c>
      <c r="F17" s="14">
        <v>2757.85</v>
      </c>
      <c r="G17" s="14">
        <v>2333.6799999999998</v>
      </c>
      <c r="H17" s="14">
        <v>2573.5</v>
      </c>
      <c r="I17" s="156">
        <v>2602.7600000000002</v>
      </c>
      <c r="J17" s="132">
        <v>4000</v>
      </c>
      <c r="K17" s="14">
        <v>1314.05</v>
      </c>
      <c r="L17" s="132">
        <v>3500</v>
      </c>
      <c r="M17" s="132"/>
      <c r="P17" s="101"/>
      <c r="Q17" s="59"/>
    </row>
    <row r="18" spans="1:17" x14ac:dyDescent="0.2">
      <c r="A18" s="12" t="s">
        <v>62</v>
      </c>
      <c r="B18" s="69" t="s">
        <v>75</v>
      </c>
      <c r="C18" s="140">
        <v>14145.02</v>
      </c>
      <c r="D18" s="14">
        <v>21632.63</v>
      </c>
      <c r="E18" s="14">
        <v>18865.080000000002</v>
      </c>
      <c r="F18" s="14">
        <v>10448.209999999999</v>
      </c>
      <c r="G18" s="14">
        <v>11643.03</v>
      </c>
      <c r="H18" s="14">
        <v>10034.4</v>
      </c>
      <c r="I18" s="156">
        <v>14685.23</v>
      </c>
      <c r="J18" s="132">
        <v>18000</v>
      </c>
      <c r="K18" s="14">
        <v>4060.66</v>
      </c>
      <c r="L18" s="132">
        <v>25000</v>
      </c>
      <c r="M18" s="132"/>
      <c r="P18" s="101"/>
      <c r="Q18" s="59"/>
    </row>
    <row r="19" spans="1:17" x14ac:dyDescent="0.2">
      <c r="A19" s="12" t="s">
        <v>691</v>
      </c>
      <c r="B19" s="13" t="s">
        <v>347</v>
      </c>
      <c r="C19" s="14">
        <v>8111.96</v>
      </c>
      <c r="D19" s="14">
        <v>10821.64</v>
      </c>
      <c r="E19" s="14">
        <v>9566.7000000000007</v>
      </c>
      <c r="F19" s="14">
        <v>6423.13</v>
      </c>
      <c r="G19" s="14">
        <v>8360.0499999999993</v>
      </c>
      <c r="H19" s="14">
        <v>9797.56</v>
      </c>
      <c r="I19" s="156">
        <v>10832.95</v>
      </c>
      <c r="J19" s="132">
        <v>12000</v>
      </c>
      <c r="K19" s="14">
        <v>2050.8200000000002</v>
      </c>
      <c r="L19" s="132">
        <v>12000</v>
      </c>
      <c r="M19" s="132"/>
      <c r="P19" s="101"/>
      <c r="Q19" s="59"/>
    </row>
    <row r="20" spans="1:17" hidden="1" x14ac:dyDescent="0.2">
      <c r="A20" s="12" t="s">
        <v>10</v>
      </c>
      <c r="B20" s="13" t="s">
        <v>11</v>
      </c>
      <c r="C20" s="14"/>
      <c r="D20" s="14">
        <v>0</v>
      </c>
      <c r="E20" s="14"/>
      <c r="F20" s="14"/>
      <c r="G20" s="14"/>
      <c r="H20" s="14"/>
      <c r="I20" s="156"/>
      <c r="J20" s="132"/>
      <c r="K20" s="14"/>
      <c r="L20" s="132"/>
      <c r="M20" s="132"/>
      <c r="P20" s="208"/>
      <c r="Q20" s="59"/>
    </row>
    <row r="21" spans="1:17" hidden="1" x14ac:dyDescent="0.2">
      <c r="A21" s="12" t="s">
        <v>958</v>
      </c>
      <c r="B21" s="13" t="s">
        <v>959</v>
      </c>
      <c r="C21" s="14"/>
      <c r="D21" s="14"/>
      <c r="E21" s="14"/>
      <c r="F21" s="14">
        <v>813.56</v>
      </c>
      <c r="G21" s="14"/>
      <c r="H21" s="14"/>
      <c r="I21" s="156"/>
      <c r="J21" s="132"/>
      <c r="K21" s="14"/>
      <c r="L21" s="132"/>
      <c r="M21" s="132"/>
      <c r="P21" s="208"/>
      <c r="Q21" s="59"/>
    </row>
    <row r="22" spans="1:17" x14ac:dyDescent="0.2">
      <c r="A22" s="12" t="s">
        <v>13</v>
      </c>
      <c r="B22" s="13" t="s">
        <v>348</v>
      </c>
      <c r="C22" s="14">
        <v>619.48</v>
      </c>
      <c r="D22" s="14">
        <v>657.3</v>
      </c>
      <c r="E22" s="14">
        <v>614.69000000000005</v>
      </c>
      <c r="F22" s="14">
        <v>557.64</v>
      </c>
      <c r="G22" s="14">
        <v>554.92999999999995</v>
      </c>
      <c r="H22" s="14">
        <v>585.23</v>
      </c>
      <c r="I22" s="156">
        <v>681.26</v>
      </c>
      <c r="J22" s="132">
        <v>775</v>
      </c>
      <c r="K22" s="14">
        <v>252.95</v>
      </c>
      <c r="L22" s="132">
        <v>775</v>
      </c>
      <c r="M22" s="132"/>
      <c r="Q22" s="101"/>
    </row>
    <row r="23" spans="1:17" x14ac:dyDescent="0.2">
      <c r="A23" s="12" t="s">
        <v>63</v>
      </c>
      <c r="B23" s="13" t="s">
        <v>788</v>
      </c>
      <c r="C23" s="14">
        <v>1206.5999999999999</v>
      </c>
      <c r="D23" s="14">
        <v>1314.27</v>
      </c>
      <c r="E23" s="14">
        <v>1180.54</v>
      </c>
      <c r="F23" s="14">
        <v>783.58</v>
      </c>
      <c r="G23" s="14">
        <v>945.8</v>
      </c>
      <c r="H23" s="14">
        <v>1108.06</v>
      </c>
      <c r="I23" s="156">
        <v>1312.23</v>
      </c>
      <c r="J23" s="132">
        <v>1750</v>
      </c>
      <c r="K23" s="14">
        <v>388.46</v>
      </c>
      <c r="L23" s="132">
        <v>1750</v>
      </c>
      <c r="M23" s="132"/>
      <c r="Q23" s="59"/>
    </row>
    <row r="24" spans="1:17" x14ac:dyDescent="0.2">
      <c r="A24" s="12" t="s">
        <v>64</v>
      </c>
      <c r="B24" s="13" t="s">
        <v>76</v>
      </c>
      <c r="C24" s="14">
        <v>347.6</v>
      </c>
      <c r="D24" s="14">
        <v>178.4</v>
      </c>
      <c r="E24" s="14">
        <v>211.9</v>
      </c>
      <c r="F24" s="14">
        <v>430.4</v>
      </c>
      <c r="G24" s="14">
        <v>240.8</v>
      </c>
      <c r="H24" s="14">
        <v>293.60000000000002</v>
      </c>
      <c r="I24" s="156">
        <v>233.4</v>
      </c>
      <c r="J24" s="132">
        <v>500</v>
      </c>
      <c r="K24" s="14">
        <v>99.5</v>
      </c>
      <c r="L24" s="132">
        <v>500</v>
      </c>
      <c r="M24" s="132"/>
      <c r="Q24" s="101"/>
    </row>
    <row r="25" spans="1:17" x14ac:dyDescent="0.2">
      <c r="A25" s="12" t="s">
        <v>692</v>
      </c>
      <c r="B25" s="13" t="s">
        <v>693</v>
      </c>
      <c r="C25" s="39">
        <v>103</v>
      </c>
      <c r="D25" s="14">
        <v>98</v>
      </c>
      <c r="E25" s="14">
        <v>140</v>
      </c>
      <c r="F25" s="14">
        <v>105</v>
      </c>
      <c r="G25" s="14">
        <v>70</v>
      </c>
      <c r="H25" s="14">
        <v>95</v>
      </c>
      <c r="I25" s="156">
        <v>104</v>
      </c>
      <c r="J25" s="132">
        <v>150</v>
      </c>
      <c r="K25" s="14">
        <v>59</v>
      </c>
      <c r="L25" s="132">
        <v>150</v>
      </c>
      <c r="M25" s="132"/>
      <c r="Q25" s="101"/>
    </row>
    <row r="26" spans="1:17" hidden="1" x14ac:dyDescent="0.2">
      <c r="A26" s="12" t="s">
        <v>960</v>
      </c>
      <c r="B26" s="13" t="s">
        <v>961</v>
      </c>
      <c r="C26" s="39"/>
      <c r="D26" s="14"/>
      <c r="E26" s="14"/>
      <c r="F26" s="14">
        <v>358</v>
      </c>
      <c r="G26" s="14"/>
      <c r="H26" s="14"/>
      <c r="I26" s="156"/>
      <c r="J26" s="132"/>
      <c r="K26" s="39"/>
      <c r="L26" s="132"/>
      <c r="M26" s="132"/>
      <c r="Q26" s="101"/>
    </row>
    <row r="27" spans="1:17" x14ac:dyDescent="0.2">
      <c r="A27" s="12" t="s">
        <v>17</v>
      </c>
      <c r="B27" s="13" t="s">
        <v>18</v>
      </c>
      <c r="C27" s="39">
        <v>113.6</v>
      </c>
      <c r="D27" s="14">
        <v>129</v>
      </c>
      <c r="E27" s="14">
        <v>138.1</v>
      </c>
      <c r="F27" s="14">
        <v>181.2</v>
      </c>
      <c r="G27" s="14">
        <v>193.2</v>
      </c>
      <c r="H27" s="14">
        <v>229.2</v>
      </c>
      <c r="I27" s="156">
        <v>255.2</v>
      </c>
      <c r="J27" s="132">
        <v>300</v>
      </c>
      <c r="K27" s="39">
        <v>120</v>
      </c>
      <c r="L27" s="132">
        <v>300</v>
      </c>
      <c r="M27" s="132"/>
      <c r="Q27" s="101"/>
    </row>
    <row r="28" spans="1:17" x14ac:dyDescent="0.2">
      <c r="A28" s="12" t="s">
        <v>65</v>
      </c>
      <c r="B28" s="13" t="s">
        <v>77</v>
      </c>
      <c r="C28" s="39">
        <v>455.4</v>
      </c>
      <c r="D28" s="14">
        <v>588</v>
      </c>
      <c r="E28" s="14">
        <v>582.35</v>
      </c>
      <c r="F28" s="14">
        <v>863.6</v>
      </c>
      <c r="G28" s="14">
        <v>693.2</v>
      </c>
      <c r="H28" s="14">
        <v>718</v>
      </c>
      <c r="I28" s="156">
        <v>1037.1500000000001</v>
      </c>
      <c r="J28" s="132">
        <v>1500</v>
      </c>
      <c r="K28" s="39">
        <v>537.5</v>
      </c>
      <c r="L28" s="132">
        <v>3000</v>
      </c>
      <c r="M28" s="132"/>
      <c r="Q28" s="101"/>
    </row>
    <row r="29" spans="1:17" x14ac:dyDescent="0.2">
      <c r="A29" s="12" t="s">
        <v>66</v>
      </c>
      <c r="B29" s="13" t="s">
        <v>80</v>
      </c>
      <c r="C29" s="39">
        <v>41.4</v>
      </c>
      <c r="D29" s="14">
        <v>0</v>
      </c>
      <c r="E29" s="14"/>
      <c r="F29" s="14"/>
      <c r="G29" s="14"/>
      <c r="H29" s="14"/>
      <c r="I29" s="156">
        <v>0</v>
      </c>
      <c r="J29" s="132">
        <v>95</v>
      </c>
      <c r="K29" s="39"/>
      <c r="L29" s="132">
        <v>95</v>
      </c>
      <c r="M29" s="132"/>
      <c r="Q29" s="101"/>
    </row>
    <row r="30" spans="1:17" x14ac:dyDescent="0.2">
      <c r="A30" s="12" t="s">
        <v>67</v>
      </c>
      <c r="B30" s="13" t="s">
        <v>81</v>
      </c>
      <c r="C30" s="39">
        <v>157</v>
      </c>
      <c r="D30" s="14">
        <v>124</v>
      </c>
      <c r="E30" s="14">
        <v>217</v>
      </c>
      <c r="F30" s="14">
        <v>276</v>
      </c>
      <c r="G30" s="14">
        <v>287</v>
      </c>
      <c r="H30" s="14">
        <v>215.4</v>
      </c>
      <c r="I30" s="156">
        <v>202.4</v>
      </c>
      <c r="J30" s="132">
        <v>500</v>
      </c>
      <c r="K30" s="39">
        <v>111.5</v>
      </c>
      <c r="L30" s="132">
        <v>500</v>
      </c>
      <c r="M30" s="132"/>
      <c r="Q30" s="101"/>
    </row>
    <row r="31" spans="1:17" x14ac:dyDescent="0.2">
      <c r="A31" s="12" t="s">
        <v>68</v>
      </c>
      <c r="B31" s="13" t="s">
        <v>82</v>
      </c>
      <c r="C31" s="14">
        <v>350.26</v>
      </c>
      <c r="D31" s="14">
        <v>236.36</v>
      </c>
      <c r="E31" s="14">
        <v>243.42</v>
      </c>
      <c r="F31" s="14">
        <v>629.28</v>
      </c>
      <c r="G31" s="14">
        <v>424</v>
      </c>
      <c r="H31" s="14">
        <v>670.68</v>
      </c>
      <c r="I31" s="156">
        <v>1499.88</v>
      </c>
      <c r="J31" s="132">
        <v>1500</v>
      </c>
      <c r="K31" s="39">
        <v>1071.75</v>
      </c>
      <c r="L31" s="132">
        <v>2500</v>
      </c>
      <c r="M31" s="132"/>
      <c r="Q31" s="59"/>
    </row>
    <row r="32" spans="1:17" x14ac:dyDescent="0.2">
      <c r="A32" s="12" t="s">
        <v>28</v>
      </c>
      <c r="B32" s="13" t="s">
        <v>29</v>
      </c>
      <c r="C32" s="14">
        <v>72</v>
      </c>
      <c r="D32" s="14">
        <v>72</v>
      </c>
      <c r="E32" s="14">
        <v>72</v>
      </c>
      <c r="F32" s="14">
        <v>123.12</v>
      </c>
      <c r="G32" s="14">
        <v>132</v>
      </c>
      <c r="H32" s="14">
        <v>82.8</v>
      </c>
      <c r="I32" s="156">
        <v>124</v>
      </c>
      <c r="J32" s="132">
        <v>250</v>
      </c>
      <c r="K32" s="39">
        <v>62</v>
      </c>
      <c r="L32" s="132">
        <v>250</v>
      </c>
      <c r="M32" s="132"/>
      <c r="Q32" s="59"/>
    </row>
    <row r="33" spans="1:17" hidden="1" x14ac:dyDescent="0.2">
      <c r="A33" s="12" t="s">
        <v>1061</v>
      </c>
      <c r="B33" s="13" t="s">
        <v>1062</v>
      </c>
      <c r="C33" s="14"/>
      <c r="D33" s="14"/>
      <c r="E33" s="14"/>
      <c r="F33" s="14">
        <v>36.770000000000003</v>
      </c>
      <c r="G33" s="14"/>
      <c r="H33" s="14"/>
      <c r="I33" s="156"/>
      <c r="J33" s="132"/>
      <c r="K33" s="39"/>
      <c r="L33" s="132"/>
      <c r="M33" s="132"/>
      <c r="Q33" s="59"/>
    </row>
    <row r="34" spans="1:17" x14ac:dyDescent="0.2">
      <c r="A34" s="12" t="s">
        <v>19</v>
      </c>
      <c r="B34" s="13" t="s">
        <v>20</v>
      </c>
      <c r="C34" s="14">
        <v>216</v>
      </c>
      <c r="D34" s="14">
        <v>248.8</v>
      </c>
      <c r="E34" s="14">
        <v>298.56</v>
      </c>
      <c r="F34" s="14">
        <v>328.32</v>
      </c>
      <c r="G34" s="14">
        <v>496</v>
      </c>
      <c r="H34" s="14">
        <v>331.2</v>
      </c>
      <c r="I34" s="156">
        <v>268.83999999999997</v>
      </c>
      <c r="J34" s="132">
        <v>1500</v>
      </c>
      <c r="K34" s="14">
        <v>285.8</v>
      </c>
      <c r="L34" s="132">
        <v>1500</v>
      </c>
      <c r="M34" s="132"/>
      <c r="Q34" s="101"/>
    </row>
    <row r="35" spans="1:17" x14ac:dyDescent="0.2">
      <c r="A35" s="12" t="s">
        <v>69</v>
      </c>
      <c r="B35" s="13" t="s">
        <v>677</v>
      </c>
      <c r="C35" s="14">
        <v>744</v>
      </c>
      <c r="D35" s="14">
        <v>696.64</v>
      </c>
      <c r="E35" s="14">
        <v>646.88</v>
      </c>
      <c r="F35" s="14">
        <v>1114.92</v>
      </c>
      <c r="G35" s="14">
        <v>1096</v>
      </c>
      <c r="H35" s="14">
        <v>347.76</v>
      </c>
      <c r="I35" s="156">
        <v>1825.34</v>
      </c>
      <c r="J35" s="132">
        <v>2000</v>
      </c>
      <c r="K35" s="14">
        <v>778.8</v>
      </c>
      <c r="L35" s="132">
        <v>3000</v>
      </c>
      <c r="M35" s="132"/>
      <c r="Q35" s="59"/>
    </row>
    <row r="36" spans="1:17" hidden="1" x14ac:dyDescent="0.2">
      <c r="A36" s="12" t="s">
        <v>1059</v>
      </c>
      <c r="B36" s="13" t="s">
        <v>1060</v>
      </c>
      <c r="C36" s="14"/>
      <c r="D36" s="14"/>
      <c r="E36" s="14"/>
      <c r="F36" s="14"/>
      <c r="G36" s="14">
        <v>120</v>
      </c>
      <c r="H36" s="14"/>
      <c r="I36" s="156"/>
      <c r="J36" s="132"/>
      <c r="K36" s="14"/>
      <c r="L36" s="132"/>
      <c r="M36" s="132"/>
      <c r="Q36" s="59"/>
    </row>
    <row r="37" spans="1:17" x14ac:dyDescent="0.2">
      <c r="A37" s="12" t="s">
        <v>70</v>
      </c>
      <c r="B37" s="13" t="s">
        <v>83</v>
      </c>
      <c r="C37" s="14">
        <v>72</v>
      </c>
      <c r="D37" s="14">
        <v>72</v>
      </c>
      <c r="E37" s="14">
        <v>72</v>
      </c>
      <c r="F37" s="14">
        <v>72</v>
      </c>
      <c r="G37" s="14">
        <v>208</v>
      </c>
      <c r="H37" s="14">
        <v>115.92</v>
      </c>
      <c r="I37" s="156">
        <v>124</v>
      </c>
      <c r="J37" s="132">
        <v>400</v>
      </c>
      <c r="K37" s="14">
        <v>62</v>
      </c>
      <c r="L37" s="132">
        <v>400</v>
      </c>
      <c r="M37" s="132"/>
      <c r="Q37" s="59"/>
    </row>
    <row r="38" spans="1:17" ht="13.5" thickBot="1" x14ac:dyDescent="0.25">
      <c r="A38" s="12"/>
      <c r="B38" s="13"/>
      <c r="C38" s="16"/>
      <c r="D38" s="16"/>
      <c r="E38" s="16"/>
      <c r="F38" s="16"/>
      <c r="G38" s="16"/>
      <c r="H38" s="16"/>
      <c r="I38" s="16"/>
      <c r="J38" s="17"/>
      <c r="K38" s="16"/>
      <c r="L38" s="17"/>
      <c r="M38" s="17"/>
      <c r="Q38" s="101"/>
    </row>
    <row r="39" spans="1:17" x14ac:dyDescent="0.2">
      <c r="A39" s="12"/>
      <c r="B39" s="18" t="s">
        <v>442</v>
      </c>
      <c r="C39" s="19">
        <f t="shared" ref="C39:I39" si="0">SUM(C9:C38)</f>
        <v>89938.37</v>
      </c>
      <c r="D39" s="19">
        <f t="shared" si="0"/>
        <v>103744.03</v>
      </c>
      <c r="E39" s="19">
        <f t="shared" si="0"/>
        <v>94949.29</v>
      </c>
      <c r="F39" s="19">
        <f t="shared" si="0"/>
        <v>93004.470000000016</v>
      </c>
      <c r="G39" s="19">
        <f t="shared" si="0"/>
        <v>86631.79</v>
      </c>
      <c r="H39" s="19">
        <f t="shared" si="0"/>
        <v>88374.909999999974</v>
      </c>
      <c r="I39" s="19">
        <f t="shared" si="0"/>
        <v>92714.789999999964</v>
      </c>
      <c r="J39" s="38">
        <f>SUM(J9:J38)</f>
        <v>119570</v>
      </c>
      <c r="K39" s="19">
        <f>SUM(K10:K38)</f>
        <v>33931.290000000008</v>
      </c>
      <c r="L39" s="38">
        <f>SUM(L9:L38)</f>
        <v>141320</v>
      </c>
      <c r="M39" s="38">
        <f>SUM(M9:M38)</f>
        <v>0</v>
      </c>
      <c r="Q39" s="222"/>
    </row>
    <row r="40" spans="1:17" x14ac:dyDescent="0.2">
      <c r="A40" s="12"/>
      <c r="B40" s="13"/>
      <c r="C40" s="14"/>
      <c r="D40" s="14"/>
      <c r="E40" s="14"/>
      <c r="F40" s="14"/>
      <c r="G40" s="14"/>
      <c r="H40" s="14"/>
      <c r="I40" s="14"/>
      <c r="J40" s="15"/>
      <c r="K40" s="14"/>
      <c r="L40" s="15"/>
      <c r="M40" s="15"/>
      <c r="Q40" s="101"/>
    </row>
    <row r="41" spans="1:17" ht="13.5" thickBot="1" x14ac:dyDescent="0.25">
      <c r="A41" s="21"/>
      <c r="B41" s="22" t="s">
        <v>59</v>
      </c>
      <c r="C41" s="23">
        <f t="shared" ref="C41:L41" si="1">+C39</f>
        <v>89938.37</v>
      </c>
      <c r="D41" s="23">
        <f t="shared" si="1"/>
        <v>103744.03</v>
      </c>
      <c r="E41" s="23">
        <f>+E39</f>
        <v>94949.29</v>
      </c>
      <c r="F41" s="23">
        <f>+F39</f>
        <v>93004.470000000016</v>
      </c>
      <c r="G41" s="23">
        <f>+G39</f>
        <v>86631.79</v>
      </c>
      <c r="H41" s="23">
        <f t="shared" si="1"/>
        <v>88374.909999999974</v>
      </c>
      <c r="I41" s="23">
        <f t="shared" si="1"/>
        <v>92714.789999999964</v>
      </c>
      <c r="J41" s="24">
        <f t="shared" ref="J41" si="2">+J39</f>
        <v>119570</v>
      </c>
      <c r="K41" s="23">
        <f t="shared" si="1"/>
        <v>33931.290000000008</v>
      </c>
      <c r="L41" s="24">
        <f t="shared" si="1"/>
        <v>141320</v>
      </c>
      <c r="M41" s="24">
        <f>+L41</f>
        <v>141320</v>
      </c>
    </row>
    <row r="42" spans="1:17" ht="13.5" thickTop="1" x14ac:dyDescent="0.2">
      <c r="A42" s="28"/>
      <c r="B42" s="90"/>
      <c r="C42" s="26"/>
      <c r="D42" s="26"/>
      <c r="E42" s="26"/>
      <c r="F42" s="26"/>
      <c r="G42" s="26"/>
      <c r="H42" s="26"/>
      <c r="I42" s="27"/>
      <c r="J42" s="27"/>
      <c r="K42" s="26"/>
      <c r="L42" s="27"/>
      <c r="M42" s="27"/>
    </row>
    <row r="43" spans="1:17" x14ac:dyDescent="0.2">
      <c r="A43" s="28"/>
      <c r="B43" s="90"/>
      <c r="C43" s="26"/>
      <c r="D43" s="26"/>
      <c r="E43" s="26"/>
      <c r="F43" s="26"/>
      <c r="G43" s="26"/>
      <c r="H43" s="26"/>
      <c r="I43" s="27"/>
      <c r="J43" s="27"/>
      <c r="K43" s="26"/>
      <c r="L43" s="27"/>
      <c r="M43" s="27"/>
    </row>
    <row r="44" spans="1:17" ht="15.75" x14ac:dyDescent="0.25">
      <c r="A44" s="423"/>
      <c r="B44" s="419"/>
      <c r="C44" s="420"/>
      <c r="D44" s="420"/>
      <c r="E44" s="420"/>
      <c r="F44" s="420"/>
      <c r="G44" s="420"/>
      <c r="H44" s="420"/>
      <c r="I44" s="419"/>
      <c r="J44" s="419"/>
      <c r="K44" s="419"/>
      <c r="L44" s="419"/>
      <c r="M44" s="419"/>
    </row>
    <row r="45" spans="1:17" ht="15.75" x14ac:dyDescent="0.25">
      <c r="A45" s="422"/>
      <c r="B45" s="419"/>
      <c r="C45" s="420"/>
      <c r="D45" s="420"/>
      <c r="E45" s="420"/>
      <c r="F45" s="420"/>
      <c r="G45" s="420"/>
      <c r="H45" s="420"/>
      <c r="I45" s="419"/>
      <c r="J45" s="419"/>
      <c r="K45" s="419"/>
      <c r="L45" s="419"/>
      <c r="M45" s="419"/>
    </row>
    <row r="46" spans="1:17" ht="16.5" thickBot="1" x14ac:dyDescent="0.3">
      <c r="A46" s="264"/>
      <c r="B46" s="419"/>
      <c r="C46" s="420"/>
      <c r="D46" s="420"/>
      <c r="E46" s="420"/>
      <c r="F46" s="420"/>
      <c r="G46" s="420"/>
      <c r="H46" s="420"/>
      <c r="I46" s="419"/>
      <c r="J46" s="419"/>
      <c r="K46" s="419"/>
      <c r="L46" s="419"/>
      <c r="M46" s="419"/>
    </row>
    <row r="47" spans="1:17" ht="13.5" thickTop="1" x14ac:dyDescent="0.2">
      <c r="A47" s="517"/>
      <c r="B47" s="518"/>
      <c r="C47" s="519" t="s">
        <v>122</v>
      </c>
      <c r="D47" s="520" t="s">
        <v>122</v>
      </c>
      <c r="E47" s="520" t="s">
        <v>122</v>
      </c>
      <c r="H47" s="521" t="s">
        <v>542</v>
      </c>
      <c r="I47" s="522" t="s">
        <v>9</v>
      </c>
      <c r="J47" s="523" t="s">
        <v>1073</v>
      </c>
      <c r="K47" s="522" t="s">
        <v>682</v>
      </c>
      <c r="L47" s="524"/>
      <c r="M47" s="523"/>
    </row>
    <row r="48" spans="1:17" ht="13.5" thickBot="1" x14ac:dyDescent="0.25">
      <c r="A48" s="525" t="s">
        <v>123</v>
      </c>
      <c r="B48" s="526"/>
      <c r="C48" s="527" t="s">
        <v>334</v>
      </c>
      <c r="D48" s="527" t="s">
        <v>718</v>
      </c>
      <c r="E48" s="528" t="s">
        <v>734</v>
      </c>
      <c r="H48" s="529" t="s">
        <v>899</v>
      </c>
      <c r="I48" s="529" t="s">
        <v>900</v>
      </c>
      <c r="J48" s="528" t="s">
        <v>1075</v>
      </c>
      <c r="K48" s="530" t="s">
        <v>1075</v>
      </c>
      <c r="L48" s="531" t="s">
        <v>1074</v>
      </c>
      <c r="M48" s="529"/>
    </row>
    <row r="49" spans="1:13" ht="13.5" thickTop="1" x14ac:dyDescent="0.2">
      <c r="A49" s="551" t="s">
        <v>61</v>
      </c>
      <c r="B49" s="540" t="s">
        <v>71</v>
      </c>
      <c r="C49" s="544">
        <v>17860.46</v>
      </c>
      <c r="D49" s="544">
        <v>18618.21</v>
      </c>
      <c r="E49" s="544">
        <v>18675.71</v>
      </c>
      <c r="H49" s="543">
        <f>+J10</f>
        <v>24000</v>
      </c>
      <c r="I49" s="569">
        <f>+L10</f>
        <v>24000</v>
      </c>
      <c r="J49" s="539">
        <f t="shared" ref="J49" si="3">+I49-H49</f>
        <v>0</v>
      </c>
      <c r="K49" s="545" t="str">
        <f>IF(H49+I49&lt;&gt;0,IF(H49&lt;&gt;0,IF(J49&lt;&gt;0,ROUND((+J49/H49),4),""),1),"")</f>
        <v/>
      </c>
      <c r="L49" s="538"/>
      <c r="M49" s="539"/>
    </row>
    <row r="50" spans="1:13" x14ac:dyDescent="0.2">
      <c r="A50" s="551" t="s">
        <v>26</v>
      </c>
      <c r="B50" s="540" t="s">
        <v>27</v>
      </c>
      <c r="C50" s="544">
        <v>418.21</v>
      </c>
      <c r="D50" s="544">
        <v>455.51</v>
      </c>
      <c r="E50" s="544">
        <v>520.94000000000005</v>
      </c>
      <c r="H50" s="543">
        <f t="shared" ref="H50" si="4">+J11</f>
        <v>550</v>
      </c>
      <c r="I50" s="569">
        <f>+L11</f>
        <v>600</v>
      </c>
      <c r="J50" s="539">
        <f t="shared" ref="J50:J73" si="5">+I50-H50</f>
        <v>50</v>
      </c>
      <c r="K50" s="545">
        <f t="shared" ref="K50:K73" si="6">IF(H50+I50&lt;&gt;0,IF(H50&lt;&gt;0,IF(J50&lt;&gt;0,ROUND((+J50/H50),4),""),1),"")</f>
        <v>9.0899999999999995E-2</v>
      </c>
      <c r="L50" s="538" t="s">
        <v>1556</v>
      </c>
      <c r="M50" s="539"/>
    </row>
    <row r="51" spans="1:13" x14ac:dyDescent="0.2">
      <c r="A51" s="551" t="s">
        <v>15</v>
      </c>
      <c r="B51" s="540" t="s">
        <v>16</v>
      </c>
      <c r="C51" s="544">
        <v>30066.65</v>
      </c>
      <c r="D51" s="544">
        <v>32695.66</v>
      </c>
      <c r="E51" s="544">
        <v>29432.98</v>
      </c>
      <c r="H51" s="543">
        <f t="shared" ref="H51:H58" si="7">+J13</f>
        <v>36000</v>
      </c>
      <c r="I51" s="569">
        <f t="shared" ref="I51:I58" si="8">+L13</f>
        <v>36000</v>
      </c>
      <c r="J51" s="539">
        <f t="shared" si="5"/>
        <v>0</v>
      </c>
      <c r="K51" s="545" t="str">
        <f t="shared" si="6"/>
        <v/>
      </c>
      <c r="L51" s="538"/>
      <c r="M51" s="539"/>
    </row>
    <row r="52" spans="1:13" x14ac:dyDescent="0.2">
      <c r="A52" s="551" t="s">
        <v>60</v>
      </c>
      <c r="B52" s="540" t="s">
        <v>72</v>
      </c>
      <c r="C52" s="544">
        <v>6158.88</v>
      </c>
      <c r="D52" s="544">
        <v>6302.72</v>
      </c>
      <c r="E52" s="544">
        <v>6068.61</v>
      </c>
      <c r="H52" s="543">
        <f t="shared" si="7"/>
        <v>7000</v>
      </c>
      <c r="I52" s="569">
        <f t="shared" si="8"/>
        <v>18000</v>
      </c>
      <c r="J52" s="539">
        <f t="shared" si="5"/>
        <v>11000</v>
      </c>
      <c r="K52" s="545">
        <f t="shared" si="6"/>
        <v>1.5713999999999999</v>
      </c>
      <c r="L52" s="538" t="s">
        <v>1557</v>
      </c>
      <c r="M52" s="539"/>
    </row>
    <row r="53" spans="1:13" x14ac:dyDescent="0.2">
      <c r="A53" s="551" t="s">
        <v>610</v>
      </c>
      <c r="B53" s="540" t="s">
        <v>799</v>
      </c>
      <c r="C53" s="544">
        <v>3735.02</v>
      </c>
      <c r="D53" s="544">
        <v>3841.24</v>
      </c>
      <c r="E53" s="544">
        <v>3791.57</v>
      </c>
      <c r="H53" s="543">
        <f t="shared" si="7"/>
        <v>4800</v>
      </c>
      <c r="I53" s="569">
        <f t="shared" si="8"/>
        <v>6000</v>
      </c>
      <c r="J53" s="539">
        <f t="shared" si="5"/>
        <v>1200</v>
      </c>
      <c r="K53" s="545">
        <f t="shared" si="6"/>
        <v>0.25</v>
      </c>
      <c r="L53" s="538" t="s">
        <v>1556</v>
      </c>
      <c r="M53" s="539"/>
    </row>
    <row r="54" spans="1:13" x14ac:dyDescent="0.2">
      <c r="A54" s="551" t="s">
        <v>24</v>
      </c>
      <c r="B54" s="540" t="s">
        <v>73</v>
      </c>
      <c r="C54" s="544">
        <v>2394.5</v>
      </c>
      <c r="D54" s="544">
        <v>2061.5700000000002</v>
      </c>
      <c r="E54" s="544">
        <v>1032.4000000000001</v>
      </c>
      <c r="H54" s="543">
        <f t="shared" si="7"/>
        <v>2000</v>
      </c>
      <c r="I54" s="569">
        <f t="shared" si="8"/>
        <v>1500</v>
      </c>
      <c r="J54" s="539">
        <f t="shared" si="5"/>
        <v>-500</v>
      </c>
      <c r="K54" s="545">
        <f t="shared" si="6"/>
        <v>-0.25</v>
      </c>
      <c r="L54" s="538" t="s">
        <v>1556</v>
      </c>
      <c r="M54" s="539"/>
    </row>
    <row r="55" spans="1:13" x14ac:dyDescent="0.2">
      <c r="A55" s="551" t="s">
        <v>25</v>
      </c>
      <c r="B55" s="540" t="s">
        <v>74</v>
      </c>
      <c r="C55" s="544">
        <v>2549.33</v>
      </c>
      <c r="D55" s="544">
        <v>2900.08</v>
      </c>
      <c r="E55" s="544">
        <v>2577.86</v>
      </c>
      <c r="H55" s="543">
        <f t="shared" si="7"/>
        <v>4000</v>
      </c>
      <c r="I55" s="569">
        <f t="shared" si="8"/>
        <v>3500</v>
      </c>
      <c r="J55" s="539">
        <f t="shared" si="5"/>
        <v>-500</v>
      </c>
      <c r="K55" s="545">
        <f t="shared" si="6"/>
        <v>-0.125</v>
      </c>
      <c r="L55" s="538" t="s">
        <v>1556</v>
      </c>
      <c r="M55" s="539"/>
    </row>
    <row r="56" spans="1:13" x14ac:dyDescent="0.2">
      <c r="A56" s="551" t="s">
        <v>62</v>
      </c>
      <c r="B56" s="540" t="s">
        <v>75</v>
      </c>
      <c r="C56" s="544">
        <v>14145.02</v>
      </c>
      <c r="D56" s="544">
        <v>21632.63</v>
      </c>
      <c r="E56" s="544">
        <v>18865.080000000002</v>
      </c>
      <c r="H56" s="543">
        <f t="shared" si="7"/>
        <v>18000</v>
      </c>
      <c r="I56" s="569">
        <f t="shared" si="8"/>
        <v>25000</v>
      </c>
      <c r="J56" s="539">
        <f t="shared" si="5"/>
        <v>7000</v>
      </c>
      <c r="K56" s="545">
        <f t="shared" si="6"/>
        <v>0.38890000000000002</v>
      </c>
      <c r="L56" s="538" t="s">
        <v>1557</v>
      </c>
      <c r="M56" s="539"/>
    </row>
    <row r="57" spans="1:13" x14ac:dyDescent="0.2">
      <c r="A57" s="551" t="s">
        <v>691</v>
      </c>
      <c r="B57" s="540" t="s">
        <v>347</v>
      </c>
      <c r="C57" s="544">
        <v>8111.96</v>
      </c>
      <c r="D57" s="544">
        <v>10821.64</v>
      </c>
      <c r="E57" s="544">
        <v>9566.7000000000007</v>
      </c>
      <c r="H57" s="543">
        <f t="shared" si="7"/>
        <v>12000</v>
      </c>
      <c r="I57" s="569">
        <f t="shared" si="8"/>
        <v>12000</v>
      </c>
      <c r="J57" s="539">
        <f t="shared" si="5"/>
        <v>0</v>
      </c>
      <c r="K57" s="545" t="str">
        <f t="shared" si="6"/>
        <v/>
      </c>
      <c r="L57" s="538"/>
      <c r="M57" s="539"/>
    </row>
    <row r="58" spans="1:13" hidden="1" x14ac:dyDescent="0.2">
      <c r="A58" s="551" t="s">
        <v>10</v>
      </c>
      <c r="B58" s="540" t="s">
        <v>11</v>
      </c>
      <c r="C58" s="544"/>
      <c r="D58" s="544">
        <v>0</v>
      </c>
      <c r="E58" s="544"/>
      <c r="H58" s="543">
        <f t="shared" si="7"/>
        <v>0</v>
      </c>
      <c r="I58" s="569">
        <f t="shared" si="8"/>
        <v>0</v>
      </c>
      <c r="J58" s="539">
        <f t="shared" si="5"/>
        <v>0</v>
      </c>
      <c r="K58" s="545" t="str">
        <f t="shared" si="6"/>
        <v/>
      </c>
      <c r="L58" s="538"/>
      <c r="M58" s="539"/>
    </row>
    <row r="59" spans="1:13" x14ac:dyDescent="0.2">
      <c r="A59" s="551" t="s">
        <v>13</v>
      </c>
      <c r="B59" s="540" t="s">
        <v>348</v>
      </c>
      <c r="C59" s="544">
        <v>619.48</v>
      </c>
      <c r="D59" s="544">
        <v>657.3</v>
      </c>
      <c r="E59" s="544">
        <v>614.69000000000005</v>
      </c>
      <c r="H59" s="543">
        <f t="shared" ref="H59:H69" si="9">+J22</f>
        <v>775</v>
      </c>
      <c r="I59" s="569">
        <f t="shared" ref="I59:I69" si="10">+L22</f>
        <v>775</v>
      </c>
      <c r="J59" s="539">
        <f t="shared" si="5"/>
        <v>0</v>
      </c>
      <c r="K59" s="545" t="str">
        <f t="shared" si="6"/>
        <v/>
      </c>
      <c r="L59" s="538"/>
      <c r="M59" s="539"/>
    </row>
    <row r="60" spans="1:13" x14ac:dyDescent="0.2">
      <c r="A60" s="551" t="s">
        <v>63</v>
      </c>
      <c r="B60" s="540" t="s">
        <v>788</v>
      </c>
      <c r="C60" s="544">
        <v>1206.5999999999999</v>
      </c>
      <c r="D60" s="544">
        <v>1314.27</v>
      </c>
      <c r="E60" s="544">
        <v>1180.54</v>
      </c>
      <c r="H60" s="543">
        <f t="shared" si="9"/>
        <v>1750</v>
      </c>
      <c r="I60" s="569">
        <f t="shared" si="10"/>
        <v>1750</v>
      </c>
      <c r="J60" s="539">
        <f t="shared" si="5"/>
        <v>0</v>
      </c>
      <c r="K60" s="545" t="str">
        <f t="shared" si="6"/>
        <v/>
      </c>
      <c r="L60" s="538"/>
      <c r="M60" s="539"/>
    </row>
    <row r="61" spans="1:13" x14ac:dyDescent="0.2">
      <c r="A61" s="551" t="s">
        <v>64</v>
      </c>
      <c r="B61" s="540" t="s">
        <v>76</v>
      </c>
      <c r="C61" s="544">
        <v>347.6</v>
      </c>
      <c r="D61" s="544">
        <v>178.4</v>
      </c>
      <c r="E61" s="544">
        <v>211.9</v>
      </c>
      <c r="H61" s="543">
        <f t="shared" si="9"/>
        <v>500</v>
      </c>
      <c r="I61" s="569">
        <f t="shared" si="10"/>
        <v>500</v>
      </c>
      <c r="J61" s="539">
        <f t="shared" si="5"/>
        <v>0</v>
      </c>
      <c r="K61" s="545" t="str">
        <f t="shared" si="6"/>
        <v/>
      </c>
      <c r="L61" s="538"/>
      <c r="M61" s="539"/>
    </row>
    <row r="62" spans="1:13" x14ac:dyDescent="0.2">
      <c r="A62" s="551" t="s">
        <v>692</v>
      </c>
      <c r="B62" s="540" t="s">
        <v>693</v>
      </c>
      <c r="C62" s="546">
        <v>103</v>
      </c>
      <c r="D62" s="544">
        <v>98</v>
      </c>
      <c r="E62" s="544">
        <v>140</v>
      </c>
      <c r="H62" s="543">
        <f t="shared" si="9"/>
        <v>150</v>
      </c>
      <c r="I62" s="569">
        <f t="shared" si="10"/>
        <v>150</v>
      </c>
      <c r="J62" s="539">
        <f t="shared" si="5"/>
        <v>0</v>
      </c>
      <c r="K62" s="545" t="str">
        <f t="shared" si="6"/>
        <v/>
      </c>
      <c r="L62" s="538"/>
      <c r="M62" s="539"/>
    </row>
    <row r="63" spans="1:13" hidden="1" x14ac:dyDescent="0.2">
      <c r="A63" s="551" t="s">
        <v>960</v>
      </c>
      <c r="B63" s="540" t="s">
        <v>961</v>
      </c>
      <c r="C63" s="546"/>
      <c r="D63" s="544"/>
      <c r="E63" s="544"/>
      <c r="H63" s="543">
        <f t="shared" si="9"/>
        <v>0</v>
      </c>
      <c r="I63" s="569">
        <f t="shared" si="10"/>
        <v>0</v>
      </c>
      <c r="J63" s="539">
        <f t="shared" si="5"/>
        <v>0</v>
      </c>
      <c r="K63" s="545" t="str">
        <f t="shared" si="6"/>
        <v/>
      </c>
      <c r="L63" s="538"/>
      <c r="M63" s="539"/>
    </row>
    <row r="64" spans="1:13" x14ac:dyDescent="0.2">
      <c r="A64" s="551" t="s">
        <v>17</v>
      </c>
      <c r="B64" s="540" t="s">
        <v>18</v>
      </c>
      <c r="C64" s="546">
        <v>113.6</v>
      </c>
      <c r="D64" s="544">
        <v>129</v>
      </c>
      <c r="E64" s="544">
        <v>138.1</v>
      </c>
      <c r="H64" s="543">
        <f t="shared" si="9"/>
        <v>300</v>
      </c>
      <c r="I64" s="569">
        <f t="shared" si="10"/>
        <v>300</v>
      </c>
      <c r="J64" s="539">
        <f t="shared" si="5"/>
        <v>0</v>
      </c>
      <c r="K64" s="545" t="str">
        <f t="shared" si="6"/>
        <v/>
      </c>
      <c r="L64" s="538"/>
      <c r="M64" s="539"/>
    </row>
    <row r="65" spans="1:13" x14ac:dyDescent="0.2">
      <c r="A65" s="551" t="s">
        <v>65</v>
      </c>
      <c r="B65" s="540" t="s">
        <v>77</v>
      </c>
      <c r="C65" s="546">
        <v>455.4</v>
      </c>
      <c r="D65" s="544">
        <v>588</v>
      </c>
      <c r="E65" s="544">
        <v>582.35</v>
      </c>
      <c r="H65" s="543">
        <f t="shared" si="9"/>
        <v>1500</v>
      </c>
      <c r="I65" s="569">
        <f t="shared" si="10"/>
        <v>3000</v>
      </c>
      <c r="J65" s="539">
        <f t="shared" si="5"/>
        <v>1500</v>
      </c>
      <c r="K65" s="545">
        <f t="shared" si="6"/>
        <v>1</v>
      </c>
      <c r="L65" s="538" t="s">
        <v>1557</v>
      </c>
      <c r="M65" s="539"/>
    </row>
    <row r="66" spans="1:13" x14ac:dyDescent="0.2">
      <c r="A66" s="551" t="s">
        <v>66</v>
      </c>
      <c r="B66" s="540" t="s">
        <v>80</v>
      </c>
      <c r="C66" s="546">
        <v>41.4</v>
      </c>
      <c r="D66" s="544">
        <v>0</v>
      </c>
      <c r="E66" s="544"/>
      <c r="H66" s="543">
        <f t="shared" si="9"/>
        <v>95</v>
      </c>
      <c r="I66" s="569">
        <f t="shared" si="10"/>
        <v>95</v>
      </c>
      <c r="J66" s="539">
        <f t="shared" si="5"/>
        <v>0</v>
      </c>
      <c r="K66" s="545" t="str">
        <f t="shared" si="6"/>
        <v/>
      </c>
      <c r="L66" s="538"/>
      <c r="M66" s="539"/>
    </row>
    <row r="67" spans="1:13" x14ac:dyDescent="0.2">
      <c r="A67" s="551" t="s">
        <v>67</v>
      </c>
      <c r="B67" s="540" t="s">
        <v>81</v>
      </c>
      <c r="C67" s="546">
        <v>157</v>
      </c>
      <c r="D67" s="544">
        <v>124</v>
      </c>
      <c r="E67" s="544">
        <v>217</v>
      </c>
      <c r="H67" s="543">
        <f t="shared" si="9"/>
        <v>500</v>
      </c>
      <c r="I67" s="569">
        <f t="shared" si="10"/>
        <v>500</v>
      </c>
      <c r="J67" s="539">
        <f t="shared" si="5"/>
        <v>0</v>
      </c>
      <c r="K67" s="545" t="str">
        <f t="shared" si="6"/>
        <v/>
      </c>
      <c r="L67" s="538"/>
      <c r="M67" s="539"/>
    </row>
    <row r="68" spans="1:13" x14ac:dyDescent="0.2">
      <c r="A68" s="551" t="s">
        <v>68</v>
      </c>
      <c r="B68" s="540" t="s">
        <v>82</v>
      </c>
      <c r="C68" s="544">
        <v>350.26</v>
      </c>
      <c r="D68" s="544">
        <v>236.36</v>
      </c>
      <c r="E68" s="544">
        <v>243.42</v>
      </c>
      <c r="H68" s="543">
        <f t="shared" si="9"/>
        <v>1500</v>
      </c>
      <c r="I68" s="569">
        <f t="shared" si="10"/>
        <v>2500</v>
      </c>
      <c r="J68" s="539">
        <f t="shared" si="5"/>
        <v>1000</v>
      </c>
      <c r="K68" s="545">
        <f t="shared" si="6"/>
        <v>0.66669999999999996</v>
      </c>
      <c r="L68" s="538" t="s">
        <v>1556</v>
      </c>
      <c r="M68" s="539"/>
    </row>
    <row r="69" spans="1:13" x14ac:dyDescent="0.2">
      <c r="A69" s="551" t="s">
        <v>28</v>
      </c>
      <c r="B69" s="540" t="s">
        <v>29</v>
      </c>
      <c r="C69" s="544">
        <v>72</v>
      </c>
      <c r="D69" s="544">
        <v>72</v>
      </c>
      <c r="E69" s="544">
        <v>72</v>
      </c>
      <c r="H69" s="543">
        <f t="shared" si="9"/>
        <v>250</v>
      </c>
      <c r="I69" s="569">
        <f t="shared" si="10"/>
        <v>250</v>
      </c>
      <c r="J69" s="539">
        <f t="shared" si="5"/>
        <v>0</v>
      </c>
      <c r="K69" s="545" t="str">
        <f t="shared" si="6"/>
        <v/>
      </c>
      <c r="L69" s="538"/>
      <c r="M69" s="539"/>
    </row>
    <row r="70" spans="1:13" x14ac:dyDescent="0.2">
      <c r="A70" s="551" t="s">
        <v>19</v>
      </c>
      <c r="B70" s="540" t="s">
        <v>20</v>
      </c>
      <c r="C70" s="544">
        <v>216</v>
      </c>
      <c r="D70" s="544">
        <v>248.8</v>
      </c>
      <c r="E70" s="544">
        <v>298.56</v>
      </c>
      <c r="H70" s="543">
        <f>+J34</f>
        <v>1500</v>
      </c>
      <c r="I70" s="569">
        <f>+L34</f>
        <v>1500</v>
      </c>
      <c r="J70" s="539">
        <f t="shared" si="5"/>
        <v>0</v>
      </c>
      <c r="K70" s="545" t="str">
        <f t="shared" si="6"/>
        <v/>
      </c>
      <c r="L70" s="538"/>
      <c r="M70" s="539"/>
    </row>
    <row r="71" spans="1:13" x14ac:dyDescent="0.2">
      <c r="A71" s="551" t="s">
        <v>69</v>
      </c>
      <c r="B71" s="540" t="s">
        <v>677</v>
      </c>
      <c r="C71" s="544">
        <v>744</v>
      </c>
      <c r="D71" s="544">
        <v>696.64</v>
      </c>
      <c r="E71" s="544">
        <v>646.88</v>
      </c>
      <c r="H71" s="543">
        <f t="shared" ref="H71:H73" si="11">+J35</f>
        <v>2000</v>
      </c>
      <c r="I71" s="569">
        <f>+L35</f>
        <v>3000</v>
      </c>
      <c r="J71" s="539">
        <f t="shared" si="5"/>
        <v>1000</v>
      </c>
      <c r="K71" s="545">
        <f t="shared" si="6"/>
        <v>0.5</v>
      </c>
      <c r="L71" s="538" t="s">
        <v>1557</v>
      </c>
      <c r="M71" s="539"/>
    </row>
    <row r="72" spans="1:13" hidden="1" x14ac:dyDescent="0.2">
      <c r="A72" s="551" t="s">
        <v>1059</v>
      </c>
      <c r="B72" s="540" t="s">
        <v>1060</v>
      </c>
      <c r="C72" s="544"/>
      <c r="D72" s="544"/>
      <c r="E72" s="544"/>
      <c r="H72" s="543">
        <f t="shared" si="11"/>
        <v>0</v>
      </c>
      <c r="I72" s="569">
        <f>+L36</f>
        <v>0</v>
      </c>
      <c r="J72" s="539">
        <f t="shared" si="5"/>
        <v>0</v>
      </c>
      <c r="K72" s="545" t="str">
        <f t="shared" si="6"/>
        <v/>
      </c>
      <c r="L72" s="538"/>
      <c r="M72" s="539"/>
    </row>
    <row r="73" spans="1:13" x14ac:dyDescent="0.2">
      <c r="A73" s="551" t="s">
        <v>70</v>
      </c>
      <c r="B73" s="540" t="s">
        <v>83</v>
      </c>
      <c r="C73" s="544">
        <v>72</v>
      </c>
      <c r="D73" s="544">
        <v>72</v>
      </c>
      <c r="E73" s="544">
        <v>72</v>
      </c>
      <c r="H73" s="543">
        <f t="shared" si="11"/>
        <v>400</v>
      </c>
      <c r="I73" s="569">
        <f>+L37</f>
        <v>400</v>
      </c>
      <c r="J73" s="539">
        <f t="shared" si="5"/>
        <v>0</v>
      </c>
      <c r="K73" s="545" t="str">
        <f t="shared" si="6"/>
        <v/>
      </c>
      <c r="L73" s="538"/>
      <c r="M73" s="539"/>
    </row>
    <row r="75" spans="1:13" x14ac:dyDescent="0.2">
      <c r="B75" s="4" t="s">
        <v>1600</v>
      </c>
      <c r="C75" s="25"/>
      <c r="D75" s="25"/>
      <c r="E75" s="25"/>
      <c r="F75" s="25"/>
      <c r="G75" s="25"/>
      <c r="H75" s="849">
        <f>SUM(H49:H73)</f>
        <v>119570</v>
      </c>
      <c r="I75" s="849">
        <f>SUM(I49:I73)</f>
        <v>141320</v>
      </c>
      <c r="J75" s="208">
        <f t="shared" ref="J75" si="12">+I75-H75</f>
        <v>21750</v>
      </c>
      <c r="K75" s="850">
        <f t="shared" ref="K75" si="13">IF(H75+I75&lt;&gt;0,IF(H75&lt;&gt;0,IF(J75&lt;&gt;0,ROUND((+J75/H75),4),""),1),"")</f>
        <v>0.18190000000000001</v>
      </c>
    </row>
  </sheetData>
  <phoneticPr fontId="0" type="noConversion"/>
  <hyperlinks>
    <hyperlink ref="A1" location="'Working Budget with funding det'!A1" display="Main "/>
    <hyperlink ref="B1" location="'Table of Contents'!A1" display="TOC"/>
  </hyperlinks>
  <pageMargins left="0.75" right="0.75" top="1" bottom="1" header="0.5" footer="0.5"/>
  <pageSetup scale="97" fitToHeight="2" orientation="landscape" r:id="rId1"/>
  <headerFooter alignWithMargins="0">
    <oddFooter>&amp;L&amp;D  &amp;T&amp;C&amp;F&amp;R&amp;A</oddFooter>
  </headerFooter>
  <rowBreaks count="1" manualBreakCount="1">
    <brk id="41"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
  <sheetViews>
    <sheetView zoomScale="85" zoomScaleNormal="85" workbookViewId="0">
      <pane ySplit="7" topLeftCell="A14" activePane="bottomLeft" state="frozen"/>
      <selection activeCell="K15" sqref="K15"/>
      <selection pane="bottomLeft" activeCell="B110" sqref="B110"/>
    </sheetView>
  </sheetViews>
  <sheetFormatPr defaultRowHeight="12.75" x14ac:dyDescent="0.2"/>
  <cols>
    <col min="1" max="1" width="12.6640625" customWidth="1"/>
    <col min="2" max="2" width="36.6640625" customWidth="1"/>
    <col min="3" max="3" width="16" style="1" hidden="1" customWidth="1"/>
    <col min="4" max="7" width="16" style="121" hidden="1" customWidth="1"/>
    <col min="8" max="8" width="16" style="121" customWidth="1"/>
    <col min="9" max="9" width="15.83203125" style="121" customWidth="1"/>
    <col min="10" max="10" width="14.5" style="121" customWidth="1"/>
    <col min="11" max="11" width="15.83203125" customWidth="1"/>
    <col min="12" max="12" width="15.1640625" style="1" customWidth="1"/>
    <col min="13" max="14" width="17.33203125" style="1" customWidth="1"/>
    <col min="15" max="15" width="14.5" customWidth="1"/>
    <col min="16" max="16" width="13.6640625" customWidth="1"/>
    <col min="17" max="17" width="14.5" customWidth="1"/>
    <col min="18" max="18" width="14.6640625" style="87" customWidth="1"/>
    <col min="19" max="19" width="12.1640625" customWidth="1"/>
    <col min="20" max="20" width="13.6640625" style="2" customWidth="1"/>
    <col min="21" max="21" width="10.1640625" bestFit="1" customWidth="1"/>
  </cols>
  <sheetData>
    <row r="1" spans="1:19" ht="14.25" x14ac:dyDescent="0.2">
      <c r="A1" s="410" t="s">
        <v>1013</v>
      </c>
      <c r="B1" s="410" t="s">
        <v>1418</v>
      </c>
      <c r="L1" s="368"/>
      <c r="M1" s="241"/>
    </row>
    <row r="2" spans="1:19" ht="15" x14ac:dyDescent="0.25">
      <c r="A2" s="49" t="s">
        <v>256</v>
      </c>
      <c r="B2" s="49"/>
      <c r="E2" s="153"/>
      <c r="H2" s="153" t="s">
        <v>252</v>
      </c>
      <c r="I2" s="153"/>
      <c r="J2" s="153"/>
      <c r="K2" s="67" t="s">
        <v>290</v>
      </c>
      <c r="L2" s="368"/>
      <c r="M2" s="50" t="s">
        <v>479</v>
      </c>
    </row>
    <row r="3" spans="1:19" ht="13.5" thickBot="1" x14ac:dyDescent="0.25">
      <c r="A3" s="4"/>
      <c r="B3" s="4"/>
      <c r="C3" s="25"/>
      <c r="D3" s="25"/>
      <c r="E3" s="25"/>
      <c r="F3" s="25"/>
      <c r="G3" s="25"/>
      <c r="H3" s="25"/>
      <c r="I3" s="25"/>
      <c r="J3" s="25"/>
      <c r="K3" s="4"/>
      <c r="L3" s="112"/>
      <c r="M3" s="4"/>
      <c r="N3" s="4"/>
      <c r="Q3" s="4"/>
      <c r="R3" s="4"/>
      <c r="S3" s="4"/>
    </row>
    <row r="4" spans="1:19" ht="13.5" thickTop="1" x14ac:dyDescent="0.2">
      <c r="A4" s="5"/>
      <c r="B4" s="726"/>
      <c r="C4" s="138" t="s">
        <v>122</v>
      </c>
      <c r="D4" s="279" t="s">
        <v>122</v>
      </c>
      <c r="E4" s="279" t="s">
        <v>122</v>
      </c>
      <c r="F4" s="279" t="s">
        <v>122</v>
      </c>
      <c r="G4" s="279" t="s">
        <v>122</v>
      </c>
      <c r="H4" s="119" t="s">
        <v>122</v>
      </c>
      <c r="I4" s="317" t="s">
        <v>122</v>
      </c>
      <c r="J4" s="317" t="s">
        <v>542</v>
      </c>
      <c r="K4" s="119" t="s">
        <v>489</v>
      </c>
      <c r="L4" s="369" t="s">
        <v>900</v>
      </c>
      <c r="M4" s="7" t="s">
        <v>900</v>
      </c>
    </row>
    <row r="5" spans="1:19" x14ac:dyDescent="0.2">
      <c r="A5" s="93"/>
      <c r="B5" s="216"/>
      <c r="C5" s="137"/>
      <c r="D5" s="94"/>
      <c r="E5" s="120"/>
      <c r="F5" s="94"/>
      <c r="G5" s="94"/>
      <c r="H5" s="120"/>
      <c r="I5" s="318"/>
      <c r="J5" s="318"/>
      <c r="K5" s="120" t="s">
        <v>509</v>
      </c>
      <c r="L5" s="370" t="s">
        <v>7</v>
      </c>
      <c r="M5" s="209" t="s">
        <v>783</v>
      </c>
    </row>
    <row r="6" spans="1:19" x14ac:dyDescent="0.2">
      <c r="A6" s="93"/>
      <c r="B6" s="216"/>
      <c r="C6" s="137"/>
      <c r="D6" s="137"/>
      <c r="E6" s="137"/>
      <c r="F6" s="137"/>
      <c r="G6" s="137"/>
      <c r="H6" s="137"/>
      <c r="I6" s="95"/>
      <c r="J6" s="95"/>
      <c r="K6" s="137"/>
      <c r="L6" s="370" t="s">
        <v>8</v>
      </c>
      <c r="M6" s="51" t="s">
        <v>537</v>
      </c>
    </row>
    <row r="7" spans="1:19" ht="13.5" thickBot="1" x14ac:dyDescent="0.25">
      <c r="A7" s="8" t="s">
        <v>123</v>
      </c>
      <c r="B7" s="89"/>
      <c r="C7" s="337" t="s">
        <v>334</v>
      </c>
      <c r="D7" s="337" t="s">
        <v>718</v>
      </c>
      <c r="E7" s="9" t="s">
        <v>734</v>
      </c>
      <c r="F7" s="9" t="s">
        <v>791</v>
      </c>
      <c r="G7" s="9" t="s">
        <v>881</v>
      </c>
      <c r="H7" s="9" t="s">
        <v>1010</v>
      </c>
      <c r="I7" s="9" t="s">
        <v>1072</v>
      </c>
      <c r="J7" s="9" t="s">
        <v>899</v>
      </c>
      <c r="K7" s="145">
        <v>43830</v>
      </c>
      <c r="L7" s="371" t="s">
        <v>9</v>
      </c>
      <c r="M7" s="9" t="s">
        <v>541</v>
      </c>
    </row>
    <row r="8" spans="1:19" ht="13.5" hidden="1" thickTop="1" x14ac:dyDescent="0.2">
      <c r="A8" s="30">
        <v>5111</v>
      </c>
      <c r="B8" s="218" t="s">
        <v>683</v>
      </c>
      <c r="C8" s="142">
        <v>94541.440000000002</v>
      </c>
      <c r="D8" s="19">
        <f>4666+71741</f>
        <v>76407</v>
      </c>
      <c r="E8" s="19">
        <v>79100</v>
      </c>
      <c r="F8" s="19">
        <v>84668.79</v>
      </c>
      <c r="G8" s="19">
        <v>86894</v>
      </c>
      <c r="H8" s="19"/>
      <c r="I8" s="38"/>
      <c r="J8" s="262"/>
      <c r="K8" s="19"/>
      <c r="L8" s="262"/>
      <c r="M8" s="20"/>
      <c r="S8" s="2"/>
    </row>
    <row r="9" spans="1:19" ht="13.5" thickTop="1" x14ac:dyDescent="0.2">
      <c r="A9" s="30">
        <v>5112</v>
      </c>
      <c r="B9" s="69" t="s">
        <v>684</v>
      </c>
      <c r="C9" s="140">
        <v>558256.29</v>
      </c>
      <c r="D9" s="19">
        <v>673834.28</v>
      </c>
      <c r="E9" s="19">
        <v>754753.01</v>
      </c>
      <c r="F9" s="19">
        <v>801324.19</v>
      </c>
      <c r="G9" s="19">
        <v>830656.61</v>
      </c>
      <c r="H9" s="19">
        <f>-90402+839726.16</f>
        <v>749324.16</v>
      </c>
      <c r="I9" s="14">
        <f>56327.4+938205.2</f>
        <v>994532.6</v>
      </c>
      <c r="J9" s="261">
        <f>12739+2856+1013451</f>
        <v>1029046</v>
      </c>
      <c r="K9" s="14">
        <v>474736.76</v>
      </c>
      <c r="L9" s="261">
        <f>ROUND((SUM(K65:K81)),0)</f>
        <v>1066247</v>
      </c>
      <c r="M9" s="20"/>
      <c r="N9" s="504"/>
      <c r="O9" s="271"/>
      <c r="S9" s="2"/>
    </row>
    <row r="10" spans="1:19" x14ac:dyDescent="0.2">
      <c r="A10" s="30">
        <v>5113</v>
      </c>
      <c r="B10" s="69" t="s">
        <v>14</v>
      </c>
      <c r="C10" s="140">
        <v>10745.01</v>
      </c>
      <c r="D10" s="19">
        <f>105.98+10950.18</f>
        <v>11056.16</v>
      </c>
      <c r="E10" s="19">
        <v>10477.32</v>
      </c>
      <c r="F10" s="19">
        <v>10864.62</v>
      </c>
      <c r="G10" s="19">
        <v>11393.66</v>
      </c>
      <c r="H10" s="19">
        <v>11758.11</v>
      </c>
      <c r="I10" s="14">
        <v>12311.69</v>
      </c>
      <c r="J10" s="261">
        <f>131+13390</f>
        <v>13521</v>
      </c>
      <c r="K10" s="14">
        <v>6221.25</v>
      </c>
      <c r="L10" s="261">
        <f>ROUND((+K83),0)</f>
        <v>14034</v>
      </c>
      <c r="M10" s="20"/>
      <c r="N10" s="493"/>
      <c r="S10" s="2"/>
    </row>
    <row r="11" spans="1:19" x14ac:dyDescent="0.2">
      <c r="A11" s="12">
        <v>5114</v>
      </c>
      <c r="B11" s="69" t="s">
        <v>155</v>
      </c>
      <c r="C11" s="140">
        <f>95.03+22206.8</f>
        <v>22301.829999999998</v>
      </c>
      <c r="D11" s="14">
        <f>15705.21+1162.29</f>
        <v>16867.5</v>
      </c>
      <c r="E11" s="14">
        <v>22998.86</v>
      </c>
      <c r="F11" s="14">
        <v>28723.59</v>
      </c>
      <c r="G11" s="14">
        <v>26839.71</v>
      </c>
      <c r="H11" s="14">
        <v>30833.5</v>
      </c>
      <c r="I11" s="14">
        <v>10672.75</v>
      </c>
      <c r="J11" s="132">
        <v>38440</v>
      </c>
      <c r="K11" s="14">
        <v>2083</v>
      </c>
      <c r="L11" s="132">
        <v>38440</v>
      </c>
      <c r="M11" s="20"/>
      <c r="N11" s="493"/>
      <c r="R11" s="254"/>
      <c r="S11" s="2"/>
    </row>
    <row r="12" spans="1:19" x14ac:dyDescent="0.2">
      <c r="A12" s="12">
        <v>5132</v>
      </c>
      <c r="B12" s="69" t="s">
        <v>156</v>
      </c>
      <c r="C12" s="140">
        <v>133928.87</v>
      </c>
      <c r="D12" s="14">
        <v>109534.24</v>
      </c>
      <c r="E12" s="14">
        <v>122687.36</v>
      </c>
      <c r="F12" s="14">
        <v>126122.56</v>
      </c>
      <c r="G12" s="14">
        <v>127810.01</v>
      </c>
      <c r="H12" s="14">
        <v>130789.6</v>
      </c>
      <c r="I12" s="14">
        <v>125185.91</v>
      </c>
      <c r="J12" s="132">
        <f>1049+144200</f>
        <v>145249</v>
      </c>
      <c r="K12" s="14">
        <v>33593.65</v>
      </c>
      <c r="L12" s="132">
        <v>145249</v>
      </c>
      <c r="M12" s="20"/>
      <c r="N12" s="493"/>
      <c r="R12" s="254"/>
      <c r="S12" s="2"/>
    </row>
    <row r="13" spans="1:19" x14ac:dyDescent="0.2">
      <c r="A13" s="12">
        <v>5135</v>
      </c>
      <c r="B13" s="69" t="s">
        <v>157</v>
      </c>
      <c r="C13" s="140">
        <v>13416.61</v>
      </c>
      <c r="D13" s="14">
        <v>8222.52</v>
      </c>
      <c r="E13" s="14">
        <v>6134.34</v>
      </c>
      <c r="F13" s="14">
        <v>4797.04</v>
      </c>
      <c r="G13" s="14">
        <v>4891.88</v>
      </c>
      <c r="H13" s="14">
        <v>8947.85</v>
      </c>
      <c r="I13" s="14">
        <v>4273.67</v>
      </c>
      <c r="J13" s="132">
        <v>8000</v>
      </c>
      <c r="K13" s="14">
        <v>3374.95</v>
      </c>
      <c r="L13" s="132">
        <v>8000</v>
      </c>
      <c r="M13" s="20"/>
      <c r="N13" s="493"/>
      <c r="R13" s="254"/>
      <c r="S13" s="2"/>
    </row>
    <row r="14" spans="1:19" x14ac:dyDescent="0.2">
      <c r="A14" s="12">
        <v>5141</v>
      </c>
      <c r="B14" s="69" t="s">
        <v>158</v>
      </c>
      <c r="C14" s="140">
        <v>76334.600000000006</v>
      </c>
      <c r="D14" s="14">
        <v>84591.45</v>
      </c>
      <c r="E14" s="14">
        <v>89808.42</v>
      </c>
      <c r="F14" s="14">
        <v>87004.96</v>
      </c>
      <c r="G14" s="14">
        <v>82596.990000000005</v>
      </c>
      <c r="H14" s="14">
        <v>84853.57</v>
      </c>
      <c r="I14" s="14">
        <v>91100.04</v>
      </c>
      <c r="J14" s="132">
        <f>865+376+83136</f>
        <v>84377</v>
      </c>
      <c r="K14" s="14">
        <v>38771.379999999997</v>
      </c>
      <c r="L14" s="132">
        <f>ROUND((SUM(M65:M81)),0)</f>
        <v>87545</v>
      </c>
      <c r="M14" s="20"/>
      <c r="N14" s="504"/>
      <c r="R14" s="254"/>
      <c r="S14" s="2"/>
    </row>
    <row r="15" spans="1:19" x14ac:dyDescent="0.2">
      <c r="A15" s="12">
        <v>5142</v>
      </c>
      <c r="B15" s="69" t="s">
        <v>159</v>
      </c>
      <c r="C15" s="140">
        <v>9209.4</v>
      </c>
      <c r="D15" s="14">
        <v>9918.3799999999992</v>
      </c>
      <c r="E15" s="14">
        <v>10383.99</v>
      </c>
      <c r="F15" s="14">
        <v>10222.549999999999</v>
      </c>
      <c r="G15" s="14">
        <v>8943.35</v>
      </c>
      <c r="H15" s="14">
        <v>9444.15</v>
      </c>
      <c r="I15" s="14">
        <v>9751.73</v>
      </c>
      <c r="J15" s="132">
        <f>4446+11000</f>
        <v>15446</v>
      </c>
      <c r="K15" s="14">
        <v>6430.01</v>
      </c>
      <c r="L15" s="132">
        <v>15446</v>
      </c>
      <c r="M15" s="20"/>
      <c r="N15" s="493"/>
      <c r="R15" s="254"/>
      <c r="S15" s="2"/>
    </row>
    <row r="16" spans="1:19" x14ac:dyDescent="0.2">
      <c r="A16" s="12">
        <v>5143</v>
      </c>
      <c r="B16" s="69" t="s">
        <v>160</v>
      </c>
      <c r="C16" s="140">
        <v>36513.300000000003</v>
      </c>
      <c r="D16" s="14">
        <v>45805.83</v>
      </c>
      <c r="E16" s="14">
        <v>52853.36</v>
      </c>
      <c r="F16" s="14">
        <v>55508.14</v>
      </c>
      <c r="G16" s="14">
        <v>52994.1</v>
      </c>
      <c r="H16" s="14">
        <v>52435.4</v>
      </c>
      <c r="I16" s="14">
        <v>54628.09</v>
      </c>
      <c r="J16" s="132">
        <f>ROUND(((((66546*1.01)*1.015)*1.005)*1.02),0)+2163</f>
        <v>72095</v>
      </c>
      <c r="K16" s="14">
        <v>25492.400000000001</v>
      </c>
      <c r="L16" s="132">
        <v>72095</v>
      </c>
      <c r="M16" s="20"/>
      <c r="N16" s="493"/>
      <c r="O16" s="484"/>
      <c r="R16" s="254"/>
      <c r="S16" s="2"/>
    </row>
    <row r="17" spans="1:19" x14ac:dyDescent="0.2">
      <c r="A17" s="12">
        <v>5144</v>
      </c>
      <c r="B17" s="69" t="s">
        <v>152</v>
      </c>
      <c r="C17" s="140">
        <v>3200</v>
      </c>
      <c r="D17" s="14">
        <v>3200</v>
      </c>
      <c r="E17" s="14">
        <v>2900</v>
      </c>
      <c r="F17" s="14">
        <v>2900</v>
      </c>
      <c r="G17" s="14">
        <v>3000</v>
      </c>
      <c r="H17" s="14">
        <v>600</v>
      </c>
      <c r="I17" s="14">
        <v>600</v>
      </c>
      <c r="J17" s="132">
        <v>600</v>
      </c>
      <c r="K17" s="14"/>
      <c r="L17" s="132">
        <v>600</v>
      </c>
      <c r="M17" s="20"/>
      <c r="N17" s="504"/>
      <c r="R17" s="254"/>
      <c r="S17" s="2"/>
    </row>
    <row r="18" spans="1:19" x14ac:dyDescent="0.2">
      <c r="A18" s="12">
        <v>5145</v>
      </c>
      <c r="B18" s="69" t="s">
        <v>597</v>
      </c>
      <c r="C18" s="263">
        <v>2988.86</v>
      </c>
      <c r="D18" s="39">
        <v>3254.28</v>
      </c>
      <c r="E18" s="39">
        <v>3467.77</v>
      </c>
      <c r="F18" s="39">
        <v>3588.94</v>
      </c>
      <c r="G18" s="39">
        <v>3323.52</v>
      </c>
      <c r="H18" s="39">
        <v>3392.76</v>
      </c>
      <c r="I18" s="39">
        <v>4154.3999999999996</v>
      </c>
      <c r="J18" s="135">
        <v>3900</v>
      </c>
      <c r="K18" s="39">
        <v>1984.88</v>
      </c>
      <c r="L18" s="135">
        <v>3900</v>
      </c>
      <c r="M18" s="20"/>
      <c r="N18" s="493"/>
      <c r="R18" s="254"/>
      <c r="S18" s="2"/>
    </row>
    <row r="19" spans="1:19" x14ac:dyDescent="0.2">
      <c r="A19" s="12">
        <v>5147</v>
      </c>
      <c r="B19" s="13" t="s">
        <v>1044</v>
      </c>
      <c r="C19" s="39"/>
      <c r="D19" s="39"/>
      <c r="E19" s="39"/>
      <c r="F19" s="39"/>
      <c r="G19" s="39">
        <v>1013.8</v>
      </c>
      <c r="H19" s="39">
        <v>2457.08</v>
      </c>
      <c r="I19" s="39">
        <v>2121.6</v>
      </c>
      <c r="J19" s="135">
        <v>4000</v>
      </c>
      <c r="K19" s="39">
        <v>952</v>
      </c>
      <c r="L19" s="135">
        <v>4000</v>
      </c>
      <c r="M19" s="20"/>
      <c r="N19" s="493"/>
      <c r="R19" s="254"/>
      <c r="S19" s="2"/>
    </row>
    <row r="20" spans="1:19" x14ac:dyDescent="0.2">
      <c r="A20" s="12">
        <v>5148</v>
      </c>
      <c r="B20" s="13" t="s">
        <v>1385</v>
      </c>
      <c r="C20" s="39"/>
      <c r="D20" s="39"/>
      <c r="E20" s="39"/>
      <c r="F20" s="39"/>
      <c r="G20" s="39"/>
      <c r="H20" s="39"/>
      <c r="I20" s="39"/>
      <c r="J20" s="135">
        <v>1500</v>
      </c>
      <c r="K20" s="39">
        <v>712.8</v>
      </c>
      <c r="L20" s="135">
        <v>1500</v>
      </c>
      <c r="M20" s="20"/>
      <c r="N20" s="493"/>
      <c r="R20" s="254"/>
      <c r="S20" s="2"/>
    </row>
    <row r="21" spans="1:19" x14ac:dyDescent="0.2">
      <c r="A21" s="12">
        <v>5149</v>
      </c>
      <c r="B21" s="13" t="s">
        <v>670</v>
      </c>
      <c r="C21" s="39"/>
      <c r="D21" s="39"/>
      <c r="E21" s="39"/>
      <c r="F21" s="39"/>
      <c r="G21" s="39"/>
      <c r="H21" s="39"/>
      <c r="I21" s="39"/>
      <c r="J21" s="135"/>
      <c r="K21" s="39"/>
      <c r="L21" s="135">
        <v>3000</v>
      </c>
      <c r="M21" s="20"/>
      <c r="N21" s="493"/>
      <c r="R21" s="254"/>
      <c r="S21" s="2"/>
    </row>
    <row r="22" spans="1:19" x14ac:dyDescent="0.2">
      <c r="A22" s="12">
        <v>5151</v>
      </c>
      <c r="B22" s="13" t="s">
        <v>372</v>
      </c>
      <c r="C22" s="39">
        <v>44408.6</v>
      </c>
      <c r="D22" s="39">
        <v>8051.52</v>
      </c>
      <c r="E22" s="39">
        <v>7516.41</v>
      </c>
      <c r="F22" s="39"/>
      <c r="G22" s="39">
        <v>4270.1499999999996</v>
      </c>
      <c r="H22" s="39">
        <v>3071.99</v>
      </c>
      <c r="I22" s="39"/>
      <c r="J22" s="135"/>
      <c r="K22" s="39">
        <v>14050.8</v>
      </c>
      <c r="L22" s="135"/>
      <c r="M22" s="20"/>
      <c r="N22" s="493"/>
      <c r="R22" s="254"/>
      <c r="S22" s="2"/>
    </row>
    <row r="23" spans="1:19" x14ac:dyDescent="0.2">
      <c r="A23" s="12">
        <v>5152</v>
      </c>
      <c r="B23" s="13" t="s">
        <v>373</v>
      </c>
      <c r="C23" s="39">
        <v>4330.43</v>
      </c>
      <c r="D23" s="39">
        <v>716.25</v>
      </c>
      <c r="E23" s="39">
        <v>751.63</v>
      </c>
      <c r="F23" s="39"/>
      <c r="G23" s="39">
        <v>427.02</v>
      </c>
      <c r="H23" s="39"/>
      <c r="I23" s="39"/>
      <c r="J23" s="135"/>
      <c r="K23" s="39">
        <v>1405.1</v>
      </c>
      <c r="L23" s="135"/>
      <c r="M23" s="20"/>
      <c r="N23" s="493"/>
      <c r="R23" s="254"/>
      <c r="S23" s="2"/>
    </row>
    <row r="24" spans="1:19" x14ac:dyDescent="0.2">
      <c r="A24" s="12">
        <v>5153</v>
      </c>
      <c r="B24" s="13" t="s">
        <v>212</v>
      </c>
      <c r="C24" s="39">
        <v>2110.3200000000002</v>
      </c>
      <c r="D24" s="39">
        <v>237.36</v>
      </c>
      <c r="E24" s="39">
        <v>249.28</v>
      </c>
      <c r="F24" s="39"/>
      <c r="G24" s="39">
        <v>251.76</v>
      </c>
      <c r="H24" s="39"/>
      <c r="I24" s="39"/>
      <c r="J24" s="135"/>
      <c r="K24" s="39">
        <v>894.72</v>
      </c>
      <c r="L24" s="135"/>
      <c r="M24" s="20"/>
      <c r="N24" s="493"/>
      <c r="R24" s="254"/>
      <c r="S24" s="2"/>
    </row>
    <row r="25" spans="1:19" x14ac:dyDescent="0.2">
      <c r="A25" s="12">
        <v>5191</v>
      </c>
      <c r="B25" s="13" t="s">
        <v>437</v>
      </c>
      <c r="C25" s="39">
        <v>1250</v>
      </c>
      <c r="D25" s="39">
        <v>1250</v>
      </c>
      <c r="E25" s="39">
        <v>2000</v>
      </c>
      <c r="F25" s="39">
        <v>750</v>
      </c>
      <c r="G25" s="39">
        <v>1250</v>
      </c>
      <c r="H25" s="39">
        <v>1000</v>
      </c>
      <c r="I25" s="39">
        <v>2250</v>
      </c>
      <c r="J25" s="40">
        <f>1500+2500</f>
        <v>4000</v>
      </c>
      <c r="K25" s="39"/>
      <c r="L25" s="40">
        <v>7500</v>
      </c>
      <c r="M25" s="20"/>
      <c r="N25" s="493"/>
      <c r="R25" s="254"/>
      <c r="S25" s="2"/>
    </row>
    <row r="26" spans="1:19" x14ac:dyDescent="0.2">
      <c r="A26" s="12">
        <v>5193</v>
      </c>
      <c r="B26" s="13" t="s">
        <v>287</v>
      </c>
      <c r="C26" s="39"/>
      <c r="D26" s="39"/>
      <c r="E26" s="39"/>
      <c r="F26" s="39">
        <f>4273.95+3500</f>
        <v>7773.95</v>
      </c>
      <c r="G26" s="39">
        <f>9833.91+7000</f>
        <v>16833.91</v>
      </c>
      <c r="H26" s="39"/>
      <c r="I26" s="39"/>
      <c r="J26" s="40">
        <v>0</v>
      </c>
      <c r="K26" s="39">
        <v>1716.81</v>
      </c>
      <c r="L26" s="40">
        <v>0</v>
      </c>
      <c r="M26" s="20"/>
      <c r="N26" s="493"/>
      <c r="R26" s="254"/>
      <c r="S26" s="2"/>
    </row>
    <row r="27" spans="1:19" ht="13.5" thickBot="1" x14ac:dyDescent="0.25">
      <c r="A27" s="12">
        <v>5195</v>
      </c>
      <c r="B27" s="13" t="s">
        <v>161</v>
      </c>
      <c r="C27" s="39">
        <v>15543.38</v>
      </c>
      <c r="D27" s="39">
        <v>42221.279999999999</v>
      </c>
      <c r="E27" s="39">
        <v>32224.55</v>
      </c>
      <c r="F27" s="39">
        <v>29791.279999999999</v>
      </c>
      <c r="G27" s="39">
        <v>35389.57</v>
      </c>
      <c r="H27" s="39">
        <v>42189.93</v>
      </c>
      <c r="I27" s="39">
        <v>53020</v>
      </c>
      <c r="J27" s="40">
        <v>45000</v>
      </c>
      <c r="K27" s="39">
        <v>14023.91</v>
      </c>
      <c r="L27" s="40">
        <v>46800</v>
      </c>
      <c r="M27" s="20"/>
      <c r="N27" s="504"/>
      <c r="O27" s="484"/>
      <c r="R27" s="254"/>
      <c r="S27" s="2"/>
    </row>
    <row r="28" spans="1:19" x14ac:dyDescent="0.2">
      <c r="A28" s="12"/>
      <c r="B28" s="18" t="s">
        <v>125</v>
      </c>
      <c r="C28" s="34">
        <f t="shared" ref="C28:K28" si="0">SUM(C8:C27)</f>
        <v>1029078.94</v>
      </c>
      <c r="D28" s="34">
        <f t="shared" si="0"/>
        <v>1095168.05</v>
      </c>
      <c r="E28" s="34">
        <f t="shared" si="0"/>
        <v>1198306.2999999998</v>
      </c>
      <c r="F28" s="34">
        <f>SUM(F8:F27)</f>
        <v>1254040.6099999999</v>
      </c>
      <c r="G28" s="34">
        <f>SUM(G8:G27)</f>
        <v>1298780.04</v>
      </c>
      <c r="H28" s="34">
        <f>SUM(H8:H27)</f>
        <v>1131098.1000000001</v>
      </c>
      <c r="I28" s="34">
        <f t="shared" si="0"/>
        <v>1364602.48</v>
      </c>
      <c r="J28" s="324">
        <f>SUM(J8:J27)</f>
        <v>1465174</v>
      </c>
      <c r="K28" s="34">
        <f t="shared" si="0"/>
        <v>626444.42000000016</v>
      </c>
      <c r="L28" s="324">
        <f>SUM(L8:L27)</f>
        <v>1514356</v>
      </c>
      <c r="M28" s="324">
        <f>+L28</f>
        <v>1514356</v>
      </c>
      <c r="N28" s="504"/>
      <c r="O28" s="66"/>
      <c r="P28" s="66"/>
      <c r="R28" s="254"/>
    </row>
    <row r="29" spans="1:19" x14ac:dyDescent="0.2">
      <c r="A29" s="12"/>
      <c r="B29" s="13"/>
      <c r="C29" s="14"/>
      <c r="D29" s="14"/>
      <c r="E29" s="14"/>
      <c r="F29" s="14"/>
      <c r="G29" s="14"/>
      <c r="H29" s="14"/>
      <c r="I29" s="14"/>
      <c r="J29" s="132"/>
      <c r="K29" s="14"/>
      <c r="L29" s="132"/>
      <c r="M29" s="132"/>
      <c r="N29" s="493"/>
      <c r="R29" s="254"/>
    </row>
    <row r="30" spans="1:19" x14ac:dyDescent="0.2">
      <c r="A30" s="12">
        <v>5242</v>
      </c>
      <c r="B30" s="13" t="s">
        <v>572</v>
      </c>
      <c r="C30" s="14">
        <v>1923.55</v>
      </c>
      <c r="D30" s="14">
        <v>1658.62</v>
      </c>
      <c r="E30" s="14">
        <v>1894.84</v>
      </c>
      <c r="F30" s="14">
        <v>1105.04</v>
      </c>
      <c r="G30" s="14">
        <v>534.73</v>
      </c>
      <c r="H30" s="14">
        <v>2307.02</v>
      </c>
      <c r="I30" s="156">
        <v>904.08</v>
      </c>
      <c r="J30" s="132">
        <v>1750</v>
      </c>
      <c r="K30" s="14">
        <v>670.1</v>
      </c>
      <c r="L30" s="132">
        <v>1750</v>
      </c>
      <c r="M30" s="132"/>
      <c r="N30" s="493"/>
      <c r="R30" s="254"/>
    </row>
    <row r="31" spans="1:19" x14ac:dyDescent="0.2">
      <c r="A31" s="12">
        <v>5247</v>
      </c>
      <c r="B31" s="13" t="s">
        <v>1043</v>
      </c>
      <c r="C31" s="14"/>
      <c r="D31" s="14"/>
      <c r="E31" s="14"/>
      <c r="F31" s="14"/>
      <c r="G31" s="14">
        <v>19764.91</v>
      </c>
      <c r="H31" s="14">
        <v>19447.28</v>
      </c>
      <c r="I31" s="156">
        <v>20346.37</v>
      </c>
      <c r="J31" s="132">
        <v>21000</v>
      </c>
      <c r="K31" s="14">
        <v>16530.689999999999</v>
      </c>
      <c r="L31" s="132">
        <v>24000</v>
      </c>
      <c r="M31" s="132"/>
      <c r="N31" s="493"/>
      <c r="R31" s="254"/>
    </row>
    <row r="32" spans="1:19" x14ac:dyDescent="0.2">
      <c r="A32" s="12">
        <v>5250</v>
      </c>
      <c r="B32" s="13" t="s">
        <v>553</v>
      </c>
      <c r="C32" s="14">
        <v>27200.82</v>
      </c>
      <c r="D32" s="14">
        <v>21469.42</v>
      </c>
      <c r="E32" s="14">
        <v>28516.33</v>
      </c>
      <c r="F32" s="14">
        <v>22395.21</v>
      </c>
      <c r="G32" s="14">
        <v>7534.06</v>
      </c>
      <c r="H32" s="14">
        <v>8660.18</v>
      </c>
      <c r="I32" s="156">
        <v>8092.83</v>
      </c>
      <c r="J32" s="132">
        <v>11000</v>
      </c>
      <c r="K32" s="14">
        <v>2842.42</v>
      </c>
      <c r="L32" s="132">
        <v>11000</v>
      </c>
      <c r="M32" s="132"/>
      <c r="N32" s="493"/>
      <c r="R32" s="254"/>
    </row>
    <row r="33" spans="1:18" x14ac:dyDescent="0.2">
      <c r="A33" s="12">
        <v>5260</v>
      </c>
      <c r="B33" s="13" t="s">
        <v>865</v>
      </c>
      <c r="C33" s="109"/>
      <c r="D33" s="109"/>
      <c r="E33" s="109"/>
      <c r="F33" s="109">
        <v>763.41</v>
      </c>
      <c r="G33" s="109">
        <v>694.8</v>
      </c>
      <c r="H33" s="109">
        <v>881.4</v>
      </c>
      <c r="I33" s="342">
        <v>877.5</v>
      </c>
      <c r="J33" s="265">
        <v>1360</v>
      </c>
      <c r="K33" s="109">
        <v>585</v>
      </c>
      <c r="L33" s="265">
        <v>1360</v>
      </c>
      <c r="M33" s="132"/>
      <c r="N33" s="493"/>
      <c r="R33" s="254"/>
    </row>
    <row r="34" spans="1:18" x14ac:dyDescent="0.2">
      <c r="A34" s="12">
        <v>5314</v>
      </c>
      <c r="B34" s="13" t="s">
        <v>612</v>
      </c>
      <c r="C34" s="109"/>
      <c r="D34" s="109"/>
      <c r="E34" s="109"/>
      <c r="F34" s="109"/>
      <c r="G34" s="109"/>
      <c r="H34" s="109">
        <v>4655.99</v>
      </c>
      <c r="I34" s="342">
        <v>6174</v>
      </c>
      <c r="J34" s="265">
        <v>6000</v>
      </c>
      <c r="K34" s="109">
        <v>2248</v>
      </c>
      <c r="L34" s="265">
        <v>6000</v>
      </c>
      <c r="M34" s="132"/>
      <c r="N34" s="493"/>
      <c r="R34" s="254"/>
    </row>
    <row r="35" spans="1:18" x14ac:dyDescent="0.2">
      <c r="A35" s="12">
        <v>5315</v>
      </c>
      <c r="B35" s="13" t="s">
        <v>719</v>
      </c>
      <c r="C35" s="109">
        <v>11637.02</v>
      </c>
      <c r="D35" s="109">
        <v>0</v>
      </c>
      <c r="E35" s="109">
        <v>3445.6</v>
      </c>
      <c r="F35" s="109">
        <v>11061.07</v>
      </c>
      <c r="G35" s="109">
        <v>4170.46</v>
      </c>
      <c r="H35" s="109">
        <v>5244.13</v>
      </c>
      <c r="I35" s="342">
        <v>5004.57</v>
      </c>
      <c r="J35" s="265">
        <v>6000</v>
      </c>
      <c r="K35" s="109">
        <v>1872.5</v>
      </c>
      <c r="L35" s="265">
        <v>0</v>
      </c>
      <c r="M35" s="132"/>
      <c r="N35" s="493"/>
      <c r="O35" s="484"/>
      <c r="R35" s="254"/>
    </row>
    <row r="36" spans="1:18" x14ac:dyDescent="0.2">
      <c r="A36" s="12">
        <v>5318</v>
      </c>
      <c r="B36" s="13" t="s">
        <v>163</v>
      </c>
      <c r="C36" s="14">
        <v>389.48</v>
      </c>
      <c r="D36" s="14">
        <v>414.14</v>
      </c>
      <c r="E36" s="14">
        <v>251.14</v>
      </c>
      <c r="F36" s="14">
        <v>152.4</v>
      </c>
      <c r="G36" s="14">
        <v>25.17</v>
      </c>
      <c r="H36" s="14">
        <v>58.05</v>
      </c>
      <c r="I36" s="156">
        <v>5.34</v>
      </c>
      <c r="J36" s="132">
        <v>300</v>
      </c>
      <c r="K36" s="14"/>
      <c r="L36" s="132">
        <v>300</v>
      </c>
      <c r="M36" s="132"/>
      <c r="N36" s="493"/>
      <c r="R36" s="254"/>
    </row>
    <row r="37" spans="1:18" x14ac:dyDescent="0.2">
      <c r="A37" s="12">
        <v>5319</v>
      </c>
      <c r="B37" s="13" t="s">
        <v>164</v>
      </c>
      <c r="C37" s="14">
        <v>377</v>
      </c>
      <c r="D37" s="14">
        <v>365</v>
      </c>
      <c r="E37" s="14">
        <v>225</v>
      </c>
      <c r="F37" s="14">
        <v>197</v>
      </c>
      <c r="G37" s="14">
        <v>107</v>
      </c>
      <c r="H37" s="14">
        <v>70</v>
      </c>
      <c r="I37" s="156">
        <v>160</v>
      </c>
      <c r="J37" s="132">
        <v>300</v>
      </c>
      <c r="K37" s="14">
        <v>45</v>
      </c>
      <c r="L37" s="132">
        <v>300</v>
      </c>
      <c r="M37" s="132"/>
      <c r="N37" s="493"/>
      <c r="R37" s="254"/>
    </row>
    <row r="38" spans="1:18" x14ac:dyDescent="0.2">
      <c r="A38" s="12">
        <v>5341</v>
      </c>
      <c r="B38" s="13" t="s">
        <v>136</v>
      </c>
      <c r="C38" s="14">
        <v>9988.5499999999993</v>
      </c>
      <c r="D38" s="14">
        <v>9838.16</v>
      </c>
      <c r="E38" s="14">
        <v>9610.84</v>
      </c>
      <c r="F38" s="14">
        <v>9829.93</v>
      </c>
      <c r="G38" s="14">
        <v>9619.1299999999992</v>
      </c>
      <c r="H38" s="14">
        <v>9346.1299999999992</v>
      </c>
      <c r="I38" s="156">
        <v>9830.56</v>
      </c>
      <c r="J38" s="132">
        <v>10000</v>
      </c>
      <c r="K38" s="14">
        <v>4701.8900000000003</v>
      </c>
      <c r="L38" s="132">
        <v>10000</v>
      </c>
      <c r="M38" s="132"/>
      <c r="N38" s="493"/>
      <c r="O38" s="484"/>
      <c r="R38" s="254"/>
    </row>
    <row r="39" spans="1:18" x14ac:dyDescent="0.2">
      <c r="A39" s="12">
        <v>5344</v>
      </c>
      <c r="B39" s="13" t="s">
        <v>137</v>
      </c>
      <c r="C39" s="14">
        <v>485.47</v>
      </c>
      <c r="D39" s="14">
        <v>433.04</v>
      </c>
      <c r="E39" s="14">
        <v>431.03</v>
      </c>
      <c r="F39" s="14">
        <v>502.45</v>
      </c>
      <c r="G39" s="14">
        <v>403.99</v>
      </c>
      <c r="H39" s="14">
        <v>479.52</v>
      </c>
      <c r="I39" s="156">
        <v>516.46</v>
      </c>
      <c r="J39" s="132">
        <v>500</v>
      </c>
      <c r="K39" s="14">
        <v>204.44</v>
      </c>
      <c r="L39" s="132">
        <v>500</v>
      </c>
      <c r="M39" s="132"/>
      <c r="N39" s="493"/>
      <c r="R39" s="254"/>
    </row>
    <row r="40" spans="1:18" x14ac:dyDescent="0.2">
      <c r="A40" s="12">
        <v>5345</v>
      </c>
      <c r="B40" s="13" t="s">
        <v>138</v>
      </c>
      <c r="C40" s="14">
        <v>60</v>
      </c>
      <c r="D40" s="14">
        <v>312.44</v>
      </c>
      <c r="E40" s="14">
        <v>834.4</v>
      </c>
      <c r="F40" s="14">
        <v>0</v>
      </c>
      <c r="G40" s="14">
        <v>447</v>
      </c>
      <c r="H40" s="14">
        <v>319.68</v>
      </c>
      <c r="I40" s="156">
        <v>394.04</v>
      </c>
      <c r="J40" s="132">
        <v>500</v>
      </c>
      <c r="K40" s="14">
        <v>448.28</v>
      </c>
      <c r="L40" s="132">
        <v>500</v>
      </c>
      <c r="M40" s="132"/>
      <c r="N40" s="493"/>
      <c r="R40" s="254"/>
    </row>
    <row r="41" spans="1:18" x14ac:dyDescent="0.2">
      <c r="A41" s="12">
        <v>5350</v>
      </c>
      <c r="B41" s="13" t="s">
        <v>434</v>
      </c>
      <c r="C41" s="19">
        <v>4888</v>
      </c>
      <c r="D41" s="19">
        <v>8902</v>
      </c>
      <c r="E41" s="19">
        <v>2516</v>
      </c>
      <c r="F41" s="19">
        <v>12259</v>
      </c>
      <c r="G41" s="19">
        <v>996</v>
      </c>
      <c r="H41" s="19">
        <v>1754</v>
      </c>
      <c r="I41" s="136">
        <v>15284</v>
      </c>
      <c r="J41" s="134">
        <v>2100</v>
      </c>
      <c r="K41" s="19"/>
      <c r="L41" s="134">
        <v>2100</v>
      </c>
      <c r="M41" s="134"/>
      <c r="N41" s="493"/>
      <c r="R41" s="254"/>
    </row>
    <row r="42" spans="1:18" x14ac:dyDescent="0.2">
      <c r="A42" s="12">
        <v>5451</v>
      </c>
      <c r="B42" s="13" t="s">
        <v>197</v>
      </c>
      <c r="C42" s="19">
        <v>151.84</v>
      </c>
      <c r="D42" s="19">
        <v>313.04000000000002</v>
      </c>
      <c r="E42" s="19">
        <v>240.78</v>
      </c>
      <c r="F42" s="19">
        <v>112.75</v>
      </c>
      <c r="G42" s="19">
        <v>139.61000000000001</v>
      </c>
      <c r="H42" s="19">
        <v>260.10000000000002</v>
      </c>
      <c r="I42" s="136">
        <v>104.27</v>
      </c>
      <c r="J42" s="134">
        <v>400</v>
      </c>
      <c r="K42" s="19">
        <v>21.45</v>
      </c>
      <c r="L42" s="134">
        <v>300</v>
      </c>
      <c r="M42" s="134"/>
      <c r="N42" s="493"/>
      <c r="R42" s="254"/>
    </row>
    <row r="43" spans="1:18" x14ac:dyDescent="0.2">
      <c r="A43" s="12">
        <v>5480</v>
      </c>
      <c r="B43" s="13" t="s">
        <v>551</v>
      </c>
      <c r="C43" s="19">
        <f>68522.52-C44</f>
        <v>31988.520000000004</v>
      </c>
      <c r="D43" s="19">
        <v>20804.080000000002</v>
      </c>
      <c r="E43" s="19">
        <v>25094.28</v>
      </c>
      <c r="F43" s="19">
        <v>18000.5</v>
      </c>
      <c r="G43" s="19">
        <v>31258.58</v>
      </c>
      <c r="H43" s="19">
        <v>25831.08</v>
      </c>
      <c r="I43" s="136">
        <f>1137.74+23649.64</f>
        <v>24787.38</v>
      </c>
      <c r="J43" s="134">
        <v>26000</v>
      </c>
      <c r="K43" s="19">
        <v>13302.95</v>
      </c>
      <c r="L43" s="134">
        <v>26000</v>
      </c>
      <c r="M43" s="134"/>
      <c r="N43" s="493"/>
      <c r="O43" s="484"/>
      <c r="R43" s="254"/>
    </row>
    <row r="44" spans="1:18" x14ac:dyDescent="0.2">
      <c r="A44" s="12">
        <v>5481</v>
      </c>
      <c r="B44" s="13" t="s">
        <v>165</v>
      </c>
      <c r="C44" s="19">
        <v>36534</v>
      </c>
      <c r="D44" s="19">
        <v>40525.1</v>
      </c>
      <c r="E44" s="19">
        <v>37560.18</v>
      </c>
      <c r="F44" s="19">
        <v>24219.75</v>
      </c>
      <c r="G44" s="19">
        <v>26119.52</v>
      </c>
      <c r="H44" s="19">
        <v>30176.73</v>
      </c>
      <c r="I44" s="136">
        <v>28160.62</v>
      </c>
      <c r="J44" s="134">
        <v>30000</v>
      </c>
      <c r="K44" s="19">
        <v>11587.94</v>
      </c>
      <c r="L44" s="134">
        <v>30000</v>
      </c>
      <c r="M44" s="134"/>
      <c r="N44" s="493"/>
      <c r="O44" s="484"/>
      <c r="R44" s="254"/>
    </row>
    <row r="45" spans="1:18" x14ac:dyDescent="0.2">
      <c r="A45" s="12">
        <v>5501</v>
      </c>
      <c r="B45" s="13" t="s">
        <v>167</v>
      </c>
      <c r="C45" s="14"/>
      <c r="D45" s="19">
        <v>1000</v>
      </c>
      <c r="E45" s="19"/>
      <c r="F45" s="19">
        <v>230</v>
      </c>
      <c r="G45" s="19">
        <v>1000</v>
      </c>
      <c r="H45" s="19">
        <v>1200</v>
      </c>
      <c r="I45" s="136">
        <v>500</v>
      </c>
      <c r="J45" s="134">
        <v>500</v>
      </c>
      <c r="K45" s="14"/>
      <c r="L45" s="134">
        <v>0</v>
      </c>
      <c r="M45" s="134"/>
      <c r="N45" s="493"/>
      <c r="R45" s="254"/>
    </row>
    <row r="46" spans="1:18" x14ac:dyDescent="0.2">
      <c r="A46" s="12">
        <v>5580</v>
      </c>
      <c r="B46" s="13" t="s">
        <v>140</v>
      </c>
      <c r="C46" s="14">
        <v>17942.53</v>
      </c>
      <c r="D46" s="14">
        <v>17659.2</v>
      </c>
      <c r="E46" s="14">
        <v>20857.36</v>
      </c>
      <c r="F46" s="14">
        <v>13576.91</v>
      </c>
      <c r="G46" s="14">
        <v>16470.63</v>
      </c>
      <c r="H46" s="14">
        <v>18033.55</v>
      </c>
      <c r="I46" s="156">
        <v>12767.34</v>
      </c>
      <c r="J46" s="132">
        <v>13000</v>
      </c>
      <c r="K46" s="14">
        <v>4474.2299999999996</v>
      </c>
      <c r="L46" s="132">
        <v>13000</v>
      </c>
      <c r="M46" s="132"/>
      <c r="N46" s="493"/>
      <c r="R46" s="254"/>
    </row>
    <row r="47" spans="1:18" x14ac:dyDescent="0.2">
      <c r="A47" s="12">
        <v>5581</v>
      </c>
      <c r="B47" s="13" t="s">
        <v>141</v>
      </c>
      <c r="C47" s="14">
        <v>22.95</v>
      </c>
      <c r="D47" s="14">
        <v>144.53</v>
      </c>
      <c r="E47" s="14">
        <v>40</v>
      </c>
      <c r="F47" s="14">
        <v>102.95</v>
      </c>
      <c r="G47" s="14">
        <v>40</v>
      </c>
      <c r="H47" s="14">
        <v>69.95</v>
      </c>
      <c r="I47" s="156">
        <v>421.99</v>
      </c>
      <c r="J47" s="132">
        <v>400</v>
      </c>
      <c r="K47" s="14">
        <v>106.24</v>
      </c>
      <c r="L47" s="132">
        <v>400</v>
      </c>
      <c r="M47" s="132"/>
      <c r="N47" s="493"/>
      <c r="R47" s="254"/>
    </row>
    <row r="48" spans="1:18" x14ac:dyDescent="0.2">
      <c r="A48" s="12">
        <v>5582</v>
      </c>
      <c r="B48" s="13" t="s">
        <v>168</v>
      </c>
      <c r="C48" s="14">
        <v>13164.59</v>
      </c>
      <c r="D48" s="14">
        <v>14612.48</v>
      </c>
      <c r="E48" s="14">
        <v>13045.12</v>
      </c>
      <c r="F48" s="14">
        <v>12402.15</v>
      </c>
      <c r="G48" s="14">
        <v>14172.92</v>
      </c>
      <c r="H48" s="14">
        <v>16609.28</v>
      </c>
      <c r="I48" s="156">
        <v>16186.66</v>
      </c>
      <c r="J48" s="132">
        <f>14900+(16*200)</f>
        <v>18100</v>
      </c>
      <c r="K48" s="14">
        <v>9346.3700000000008</v>
      </c>
      <c r="L48" s="132">
        <f>14900+(16*200)</f>
        <v>18100</v>
      </c>
      <c r="M48" s="132"/>
      <c r="N48" s="493"/>
      <c r="R48" s="254"/>
    </row>
    <row r="49" spans="1:20" x14ac:dyDescent="0.2">
      <c r="A49" s="12">
        <v>5585</v>
      </c>
      <c r="B49" s="13" t="s">
        <v>720</v>
      </c>
      <c r="C49" s="19"/>
      <c r="D49" s="14">
        <v>8296</v>
      </c>
      <c r="E49" s="14">
        <v>5859.25</v>
      </c>
      <c r="F49" s="14">
        <v>3333.42</v>
      </c>
      <c r="G49" s="14">
        <v>4047.07</v>
      </c>
      <c r="H49" s="14">
        <v>4091.88</v>
      </c>
      <c r="I49" s="156">
        <v>5826.01</v>
      </c>
      <c r="J49" s="132">
        <v>5900</v>
      </c>
      <c r="K49" s="19">
        <v>3472.3</v>
      </c>
      <c r="L49" s="132">
        <v>5900</v>
      </c>
      <c r="M49" s="132"/>
      <c r="N49" s="493"/>
      <c r="O49" s="484"/>
      <c r="R49" s="254"/>
    </row>
    <row r="50" spans="1:20" x14ac:dyDescent="0.2">
      <c r="A50" s="12">
        <v>5710</v>
      </c>
      <c r="B50" s="13" t="s">
        <v>529</v>
      </c>
      <c r="C50" s="19">
        <v>4091</v>
      </c>
      <c r="D50" s="14">
        <v>4364.99</v>
      </c>
      <c r="E50" s="14">
        <v>2125.65</v>
      </c>
      <c r="F50" s="14">
        <v>2348.25</v>
      </c>
      <c r="G50" s="14">
        <v>8302.5300000000007</v>
      </c>
      <c r="H50" s="14">
        <v>1694.36</v>
      </c>
      <c r="I50" s="156">
        <v>2004.48</v>
      </c>
      <c r="J50" s="132">
        <v>1900</v>
      </c>
      <c r="K50" s="19">
        <v>1043.44</v>
      </c>
      <c r="L50" s="132">
        <v>1900</v>
      </c>
      <c r="M50" s="132"/>
      <c r="N50" s="493"/>
      <c r="R50" s="254"/>
    </row>
    <row r="51" spans="1:20" x14ac:dyDescent="0.2">
      <c r="A51" s="12">
        <v>5730</v>
      </c>
      <c r="B51" s="13" t="s">
        <v>142</v>
      </c>
      <c r="C51" s="14">
        <v>1430</v>
      </c>
      <c r="D51" s="19">
        <v>1708</v>
      </c>
      <c r="E51" s="19">
        <v>1620</v>
      </c>
      <c r="F51" s="19">
        <v>1770</v>
      </c>
      <c r="G51" s="19">
        <v>2159</v>
      </c>
      <c r="H51" s="19">
        <v>1519</v>
      </c>
      <c r="I51" s="136">
        <v>1945</v>
      </c>
      <c r="J51" s="134">
        <v>2450</v>
      </c>
      <c r="K51" s="14">
        <v>1469</v>
      </c>
      <c r="L51" s="134">
        <v>2450</v>
      </c>
      <c r="M51" s="134"/>
      <c r="N51" s="493"/>
      <c r="R51" s="254"/>
    </row>
    <row r="52" spans="1:20" ht="13.5" thickBot="1" x14ac:dyDescent="0.25">
      <c r="A52" s="12">
        <v>5740</v>
      </c>
      <c r="B52" s="13" t="s">
        <v>149</v>
      </c>
      <c r="C52" s="16">
        <v>11660</v>
      </c>
      <c r="D52" s="16">
        <v>15136</v>
      </c>
      <c r="E52" s="16">
        <v>18476</v>
      </c>
      <c r="F52" s="16">
        <v>21860</v>
      </c>
      <c r="G52" s="16">
        <v>23865</v>
      </c>
      <c r="H52" s="16">
        <v>25405</v>
      </c>
      <c r="I52" s="349">
        <v>26001</v>
      </c>
      <c r="J52" s="133">
        <v>27903</v>
      </c>
      <c r="K52" s="16">
        <v>25549</v>
      </c>
      <c r="L52" s="133">
        <v>27903</v>
      </c>
      <c r="M52" s="133"/>
      <c r="N52" s="493"/>
      <c r="O52" s="484"/>
      <c r="P52" s="485"/>
      <c r="Q52" s="66"/>
      <c r="R52" s="66"/>
      <c r="S52" s="66"/>
      <c r="T52" s="124"/>
    </row>
    <row r="53" spans="1:20" x14ac:dyDescent="0.2">
      <c r="A53" s="12"/>
      <c r="B53" s="18" t="s">
        <v>442</v>
      </c>
      <c r="C53" s="32">
        <f t="shared" ref="C53:L53" si="1">SUM(C30:C52)</f>
        <v>173935.32</v>
      </c>
      <c r="D53" s="32">
        <f t="shared" si="1"/>
        <v>167956.24</v>
      </c>
      <c r="E53" s="32">
        <f t="shared" si="1"/>
        <v>172643.79999999996</v>
      </c>
      <c r="F53" s="32">
        <f t="shared" si="1"/>
        <v>156222.19</v>
      </c>
      <c r="G53" s="32">
        <f t="shared" si="1"/>
        <v>171872.11000000002</v>
      </c>
      <c r="H53" s="32">
        <f t="shared" si="1"/>
        <v>178114.31</v>
      </c>
      <c r="I53" s="32">
        <f t="shared" si="1"/>
        <v>186294.50000000003</v>
      </c>
      <c r="J53" s="200">
        <f t="shared" si="1"/>
        <v>187363</v>
      </c>
      <c r="K53" s="32">
        <f t="shared" si="1"/>
        <v>100521.24</v>
      </c>
      <c r="L53" s="200">
        <f t="shared" si="1"/>
        <v>183763</v>
      </c>
      <c r="M53" s="200">
        <v>171985</v>
      </c>
      <c r="N53" s="493"/>
      <c r="R53" s="254"/>
    </row>
    <row r="54" spans="1:20" x14ac:dyDescent="0.2">
      <c r="A54" s="12"/>
      <c r="B54" s="13"/>
      <c r="C54" s="39"/>
      <c r="D54" s="39"/>
      <c r="E54" s="39"/>
      <c r="F54" s="39"/>
      <c r="G54" s="39"/>
      <c r="H54" s="39"/>
      <c r="I54" s="39"/>
      <c r="J54" s="40"/>
      <c r="K54" s="39"/>
      <c r="L54" s="40"/>
      <c r="M54" s="40"/>
      <c r="N54" s="493"/>
      <c r="R54" s="254"/>
    </row>
    <row r="55" spans="1:20" ht="13.5" thickBot="1" x14ac:dyDescent="0.25">
      <c r="A55" s="12">
        <v>5800</v>
      </c>
      <c r="B55" s="13" t="s">
        <v>604</v>
      </c>
      <c r="C55" s="16">
        <v>36895.4</v>
      </c>
      <c r="D55" s="16">
        <v>39483.5</v>
      </c>
      <c r="E55" s="16">
        <v>39102.5</v>
      </c>
      <c r="F55" s="16">
        <v>39498.1</v>
      </c>
      <c r="G55" s="16">
        <v>39500</v>
      </c>
      <c r="H55" s="16">
        <v>41424</v>
      </c>
      <c r="I55" s="16">
        <v>34000</v>
      </c>
      <c r="J55" s="17">
        <v>51600</v>
      </c>
      <c r="K55" s="16"/>
      <c r="L55" s="17">
        <v>53000</v>
      </c>
      <c r="M55" s="17">
        <f>+L55</f>
        <v>53000</v>
      </c>
      <c r="N55" s="493"/>
      <c r="O55" s="484"/>
      <c r="R55" s="254"/>
    </row>
    <row r="56" spans="1:20" x14ac:dyDescent="0.2">
      <c r="A56" s="12"/>
      <c r="B56" s="18" t="s">
        <v>131</v>
      </c>
      <c r="C56" s="19">
        <f t="shared" ref="C56:L56" si="2">SUM(C55:C55)</f>
        <v>36895.4</v>
      </c>
      <c r="D56" s="19">
        <f t="shared" si="2"/>
        <v>39483.5</v>
      </c>
      <c r="E56" s="19">
        <f t="shared" si="2"/>
        <v>39102.5</v>
      </c>
      <c r="F56" s="19">
        <f>+F55</f>
        <v>39498.1</v>
      </c>
      <c r="G56" s="19">
        <f>+G55</f>
        <v>39500</v>
      </c>
      <c r="H56" s="19">
        <f>+H55</f>
        <v>41424</v>
      </c>
      <c r="I56" s="19">
        <f t="shared" si="2"/>
        <v>34000</v>
      </c>
      <c r="J56" s="38">
        <f t="shared" ref="J56" si="3">SUM(J55:J55)</f>
        <v>51600</v>
      </c>
      <c r="K56" s="19">
        <f t="shared" si="2"/>
        <v>0</v>
      </c>
      <c r="L56" s="38">
        <f t="shared" si="2"/>
        <v>53000</v>
      </c>
      <c r="M56" s="38">
        <f>+M55</f>
        <v>53000</v>
      </c>
      <c r="N56" s="493"/>
      <c r="R56" s="254"/>
    </row>
    <row r="57" spans="1:20" x14ac:dyDescent="0.2">
      <c r="A57" s="125"/>
      <c r="B57" s="126"/>
      <c r="C57" s="32"/>
      <c r="D57" s="32"/>
      <c r="E57" s="32"/>
      <c r="F57" s="32"/>
      <c r="G57" s="32"/>
      <c r="H57" s="32"/>
      <c r="I57" s="32"/>
      <c r="J57" s="200"/>
      <c r="K57" s="32"/>
      <c r="L57" s="200"/>
      <c r="M57" s="200"/>
      <c r="N57" s="493"/>
      <c r="R57" s="254"/>
    </row>
    <row r="58" spans="1:20" ht="13.5" thickBot="1" x14ac:dyDescent="0.25">
      <c r="A58" s="21"/>
      <c r="B58" s="22" t="s">
        <v>132</v>
      </c>
      <c r="C58" s="23">
        <f t="shared" ref="C58:L58" si="4">+C56+C53+C28</f>
        <v>1239909.6599999999</v>
      </c>
      <c r="D58" s="23">
        <f t="shared" si="4"/>
        <v>1302607.79</v>
      </c>
      <c r="E58" s="23">
        <f t="shared" si="4"/>
        <v>1410052.5999999999</v>
      </c>
      <c r="F58" s="23">
        <f t="shared" si="4"/>
        <v>1449760.9</v>
      </c>
      <c r="G58" s="23">
        <f t="shared" si="4"/>
        <v>1510152.1500000001</v>
      </c>
      <c r="H58" s="23">
        <f t="shared" si="4"/>
        <v>1350636.4100000001</v>
      </c>
      <c r="I58" s="23">
        <f t="shared" si="4"/>
        <v>1584896.98</v>
      </c>
      <c r="J58" s="24">
        <f t="shared" si="4"/>
        <v>1704137</v>
      </c>
      <c r="K58" s="23">
        <f t="shared" si="4"/>
        <v>726965.66000000015</v>
      </c>
      <c r="L58" s="24">
        <f t="shared" si="4"/>
        <v>1751119</v>
      </c>
      <c r="M58" s="24">
        <f>+L58</f>
        <v>1751119</v>
      </c>
      <c r="R58" s="254"/>
    </row>
    <row r="59" spans="1:20" ht="13.5" thickTop="1" x14ac:dyDescent="0.2">
      <c r="A59" s="28"/>
      <c r="B59" s="90"/>
      <c r="C59" s="26"/>
      <c r="D59" s="26"/>
      <c r="E59" s="26"/>
      <c r="F59" s="26"/>
      <c r="G59" s="26"/>
      <c r="H59" s="26"/>
      <c r="I59" s="27"/>
      <c r="J59" s="27"/>
      <c r="K59" s="26"/>
      <c r="L59" s="27"/>
      <c r="M59" s="27"/>
      <c r="R59" s="254"/>
    </row>
    <row r="60" spans="1:20" x14ac:dyDescent="0.2">
      <c r="A60" s="203">
        <v>43865</v>
      </c>
      <c r="B60" s="28" t="s">
        <v>1626</v>
      </c>
      <c r="C60" s="26"/>
      <c r="D60" s="26"/>
      <c r="E60" s="26"/>
      <c r="F60" s="26"/>
      <c r="G60" s="26"/>
      <c r="H60" s="26"/>
      <c r="I60" s="27"/>
      <c r="J60" s="27"/>
      <c r="K60" s="26"/>
      <c r="L60" s="27"/>
      <c r="M60" s="27"/>
      <c r="R60" s="254"/>
    </row>
    <row r="61" spans="1:20" ht="15.75" x14ac:dyDescent="0.25">
      <c r="A61" s="28"/>
      <c r="B61" s="90"/>
      <c r="C61" s="26"/>
      <c r="D61" s="26"/>
      <c r="E61" s="26"/>
      <c r="F61" s="26"/>
      <c r="G61" s="26"/>
      <c r="H61" s="26"/>
      <c r="I61" s="26"/>
      <c r="J61" s="26"/>
      <c r="K61" s="27"/>
      <c r="L61" s="26"/>
      <c r="M61" s="84"/>
      <c r="N61" s="25"/>
      <c r="O61" s="27"/>
      <c r="P61" s="215"/>
      <c r="Q61" s="27"/>
      <c r="R61" s="2"/>
    </row>
    <row r="62" spans="1:20" ht="13.5" thickBot="1" x14ac:dyDescent="0.25">
      <c r="A62" s="4" t="s">
        <v>521</v>
      </c>
      <c r="B62" s="4"/>
    </row>
    <row r="63" spans="1:20" ht="13.5" thickTop="1" x14ac:dyDescent="0.2">
      <c r="A63" s="162" t="s">
        <v>883</v>
      </c>
      <c r="B63" s="179"/>
      <c r="H63" s="346" t="s">
        <v>84</v>
      </c>
      <c r="I63" s="169" t="s">
        <v>33</v>
      </c>
      <c r="J63" s="182" t="s">
        <v>34</v>
      </c>
      <c r="K63" s="171" t="s">
        <v>578</v>
      </c>
      <c r="L63" s="176" t="s">
        <v>53</v>
      </c>
      <c r="M63" s="174" t="s">
        <v>101</v>
      </c>
      <c r="N63"/>
      <c r="O63" s="220" t="s">
        <v>336</v>
      </c>
      <c r="R63"/>
      <c r="S63" s="87"/>
    </row>
    <row r="64" spans="1:20" ht="13.5" thickBot="1" x14ac:dyDescent="0.25">
      <c r="A64" s="392" t="s">
        <v>884</v>
      </c>
      <c r="B64" s="116" t="s">
        <v>522</v>
      </c>
      <c r="H64" s="347"/>
      <c r="I64" s="172" t="s">
        <v>575</v>
      </c>
      <c r="J64" s="173" t="s">
        <v>703</v>
      </c>
      <c r="K64" s="173" t="s">
        <v>101</v>
      </c>
      <c r="L64" s="177" t="s">
        <v>682</v>
      </c>
      <c r="M64" s="175" t="s">
        <v>681</v>
      </c>
      <c r="N64" s="246" t="s">
        <v>335</v>
      </c>
      <c r="O64" s="246" t="s">
        <v>899</v>
      </c>
      <c r="P64" s="246" t="s">
        <v>337</v>
      </c>
      <c r="R64"/>
      <c r="S64" s="87"/>
    </row>
    <row r="65" spans="1:20" ht="13.5" thickTop="1" x14ac:dyDescent="0.2">
      <c r="A65" s="164">
        <v>34967</v>
      </c>
      <c r="B65" s="69" t="s">
        <v>1684</v>
      </c>
      <c r="H65" s="14" t="s">
        <v>1334</v>
      </c>
      <c r="I65" s="14"/>
      <c r="J65" s="15"/>
      <c r="K65" s="14">
        <f>+'NAGE &amp; Non-Union Wages'!G13</f>
        <v>94529</v>
      </c>
      <c r="L65" s="178">
        <v>0.2</v>
      </c>
      <c r="M65" s="14">
        <f t="shared" ref="M65:M73" si="5">ROUND((+K65*L65),3)</f>
        <v>18905.8</v>
      </c>
      <c r="N65" s="220"/>
      <c r="O65" s="220"/>
      <c r="P65" s="220"/>
      <c r="R65"/>
      <c r="S65" s="87"/>
    </row>
    <row r="66" spans="1:20" s="4" customFormat="1" ht="12" customHeight="1" x14ac:dyDescent="0.2">
      <c r="A66" s="427">
        <v>38530</v>
      </c>
      <c r="B66" s="69" t="s">
        <v>1685</v>
      </c>
      <c r="H66" s="14" t="s">
        <v>1335</v>
      </c>
      <c r="I66" s="14">
        <f>+'NAGE &amp; Non-Union Wages'!K11</f>
        <v>40.36</v>
      </c>
      <c r="J66" s="305">
        <v>2088</v>
      </c>
      <c r="K66" s="19">
        <f t="shared" ref="K66:K81" si="6">ROUND((+J66*I66),2)</f>
        <v>84271.679999999993</v>
      </c>
      <c r="L66" s="14">
        <v>0.1</v>
      </c>
      <c r="M66" s="14">
        <f t="shared" si="5"/>
        <v>8427.1679999999997</v>
      </c>
      <c r="N66" s="427">
        <v>38530</v>
      </c>
      <c r="O66"/>
      <c r="P66" s="381" t="s">
        <v>338</v>
      </c>
      <c r="T66" s="29"/>
    </row>
    <row r="67" spans="1:20" x14ac:dyDescent="0.2">
      <c r="A67" s="428">
        <v>36920</v>
      </c>
      <c r="B67" s="274" t="s">
        <v>621</v>
      </c>
      <c r="H67" s="136" t="s">
        <v>1351</v>
      </c>
      <c r="I67" s="136">
        <f>+'Police Wages'!I10</f>
        <v>38.770000000000003</v>
      </c>
      <c r="J67" s="305">
        <v>1975</v>
      </c>
      <c r="K67" s="19">
        <f t="shared" si="6"/>
        <v>76570.75</v>
      </c>
      <c r="L67" s="306">
        <v>0.1</v>
      </c>
      <c r="M67" s="19">
        <f t="shared" si="5"/>
        <v>7657.0749999999998</v>
      </c>
      <c r="N67" s="428">
        <v>36920</v>
      </c>
      <c r="P67" s="2" t="s">
        <v>338</v>
      </c>
      <c r="R67"/>
      <c r="S67" s="87"/>
    </row>
    <row r="68" spans="1:20" x14ac:dyDescent="0.2">
      <c r="A68" s="428">
        <v>39495</v>
      </c>
      <c r="B68" s="323" t="s">
        <v>1686</v>
      </c>
      <c r="H68" s="156" t="s">
        <v>1352</v>
      </c>
      <c r="I68" s="156">
        <f>+'Police Wages'!I9</f>
        <v>34.909999999999997</v>
      </c>
      <c r="J68" s="333">
        <v>1975</v>
      </c>
      <c r="K68" s="332">
        <f t="shared" si="6"/>
        <v>68947.25</v>
      </c>
      <c r="L68" s="336">
        <v>0.2</v>
      </c>
      <c r="M68" s="332">
        <f t="shared" si="5"/>
        <v>13789.45</v>
      </c>
      <c r="N68" s="428">
        <v>39495</v>
      </c>
      <c r="O68" s="334"/>
      <c r="P68" s="335" t="s">
        <v>338</v>
      </c>
      <c r="R68"/>
      <c r="S68" s="87"/>
    </row>
    <row r="69" spans="1:20" s="334" customFormat="1" x14ac:dyDescent="0.2">
      <c r="A69" s="433">
        <v>35423</v>
      </c>
      <c r="B69" s="323" t="s">
        <v>1686</v>
      </c>
      <c r="H69" s="136" t="s">
        <v>1352</v>
      </c>
      <c r="I69" s="156">
        <f>+'Police Wages'!I9</f>
        <v>34.909999999999997</v>
      </c>
      <c r="J69" s="333">
        <v>1975</v>
      </c>
      <c r="K69" s="332">
        <f t="shared" si="6"/>
        <v>68947.25</v>
      </c>
      <c r="L69" s="336">
        <v>0.1</v>
      </c>
      <c r="M69" s="332">
        <f t="shared" si="5"/>
        <v>6894.7250000000004</v>
      </c>
      <c r="N69" s="433">
        <v>35423</v>
      </c>
      <c r="P69" s="335"/>
    </row>
    <row r="70" spans="1:20" s="334" customFormat="1" x14ac:dyDescent="0.2">
      <c r="A70" s="428">
        <v>41242</v>
      </c>
      <c r="B70" s="323" t="s">
        <v>1686</v>
      </c>
      <c r="H70" s="156" t="s">
        <v>1352</v>
      </c>
      <c r="I70" s="156">
        <f>+'Police Wages'!I9</f>
        <v>34.909999999999997</v>
      </c>
      <c r="J70" s="333">
        <v>1975</v>
      </c>
      <c r="K70" s="332">
        <f t="shared" si="6"/>
        <v>68947.25</v>
      </c>
      <c r="L70" s="336"/>
      <c r="M70" s="332">
        <f t="shared" si="5"/>
        <v>0</v>
      </c>
      <c r="N70" s="428">
        <v>41242</v>
      </c>
      <c r="P70" s="335"/>
    </row>
    <row r="71" spans="1:20" s="334" customFormat="1" x14ac:dyDescent="0.2">
      <c r="A71" s="427">
        <v>40920</v>
      </c>
      <c r="B71" s="69" t="s">
        <v>1687</v>
      </c>
      <c r="H71" s="494" t="s">
        <v>1353</v>
      </c>
      <c r="I71" s="797">
        <f>+'Police Wages'!H6</f>
        <v>29.03</v>
      </c>
      <c r="J71" s="333">
        <v>1975</v>
      </c>
      <c r="K71" s="332">
        <f t="shared" si="6"/>
        <v>57334.25</v>
      </c>
      <c r="L71" s="336">
        <v>0.1</v>
      </c>
      <c r="M71" s="332">
        <f t="shared" si="5"/>
        <v>5733.4250000000002</v>
      </c>
      <c r="N71" s="427">
        <v>40920</v>
      </c>
      <c r="P71" s="335" t="s">
        <v>338</v>
      </c>
    </row>
    <row r="72" spans="1:20" s="334" customFormat="1" x14ac:dyDescent="0.2">
      <c r="A72" s="165">
        <v>41821</v>
      </c>
      <c r="B72" s="251" t="s">
        <v>623</v>
      </c>
      <c r="C72" s="1"/>
      <c r="D72" s="121"/>
      <c r="E72" s="121"/>
      <c r="F72" s="121"/>
      <c r="G72" s="121"/>
      <c r="H72" s="156" t="s">
        <v>1394</v>
      </c>
      <c r="I72" s="156">
        <f>+'Police Wages'!H6</f>
        <v>29.03</v>
      </c>
      <c r="J72" s="329">
        <v>1975</v>
      </c>
      <c r="K72" s="156">
        <f>ROUND((+J72*I72),2)</f>
        <v>57334.25</v>
      </c>
      <c r="L72" s="330">
        <v>0.1</v>
      </c>
      <c r="M72" s="156">
        <f>ROUND((+K72*L72),3)</f>
        <v>5733.4250000000002</v>
      </c>
      <c r="N72" s="165">
        <v>41821</v>
      </c>
      <c r="O72" s="206"/>
      <c r="P72" s="14">
        <f>ROUND((+N72*O72),3)</f>
        <v>0</v>
      </c>
    </row>
    <row r="73" spans="1:20" s="334" customFormat="1" x14ac:dyDescent="0.2">
      <c r="A73" s="428">
        <v>38215</v>
      </c>
      <c r="B73" s="323" t="s">
        <v>1688</v>
      </c>
      <c r="H73" s="156" t="s">
        <v>1354</v>
      </c>
      <c r="I73" s="156">
        <f>+'Police Wages'!I6</f>
        <v>30.19</v>
      </c>
      <c r="J73" s="333">
        <v>1975</v>
      </c>
      <c r="K73" s="332">
        <f t="shared" si="6"/>
        <v>59625.25</v>
      </c>
      <c r="L73" s="336"/>
      <c r="M73" s="156">
        <f t="shared" si="5"/>
        <v>0</v>
      </c>
      <c r="N73" s="428">
        <v>38215</v>
      </c>
      <c r="P73" s="335" t="s">
        <v>338</v>
      </c>
    </row>
    <row r="74" spans="1:20" s="334" customFormat="1" x14ac:dyDescent="0.2">
      <c r="A74" s="427">
        <v>42845</v>
      </c>
      <c r="B74" s="69" t="s">
        <v>1689</v>
      </c>
      <c r="C74" s="1"/>
      <c r="D74" s="121"/>
      <c r="H74" s="156" t="s">
        <v>1068</v>
      </c>
      <c r="I74" s="156">
        <f>+'Police Wages'!F6</f>
        <v>26.85</v>
      </c>
      <c r="J74" s="305">
        <v>1975</v>
      </c>
      <c r="K74" s="14">
        <f t="shared" si="6"/>
        <v>53028.75</v>
      </c>
      <c r="L74" s="206">
        <v>0.1</v>
      </c>
      <c r="M74" s="14">
        <f t="shared" ref="M74:M79" si="7">ROUND((+K74*L74),3)</f>
        <v>5302.875</v>
      </c>
      <c r="N74" s="427">
        <v>42845</v>
      </c>
      <c r="O74"/>
      <c r="P74" s="2" t="s">
        <v>338</v>
      </c>
    </row>
    <row r="75" spans="1:20" s="334" customFormat="1" x14ac:dyDescent="0.2">
      <c r="A75" s="427">
        <v>38021</v>
      </c>
      <c r="B75" s="250" t="s">
        <v>1689</v>
      </c>
      <c r="C75" s="1"/>
      <c r="D75" s="121"/>
      <c r="E75" s="121"/>
      <c r="H75" s="156" t="s">
        <v>1354</v>
      </c>
      <c r="I75" s="156">
        <f>+'Police Wages'!I6</f>
        <v>30.19</v>
      </c>
      <c r="J75" s="305">
        <v>1975</v>
      </c>
      <c r="K75" s="14">
        <f t="shared" si="6"/>
        <v>59625.25</v>
      </c>
      <c r="L75" s="206"/>
      <c r="M75" s="14">
        <f t="shared" si="7"/>
        <v>0</v>
      </c>
      <c r="N75" s="427">
        <v>38021</v>
      </c>
      <c r="O75">
        <v>17</v>
      </c>
      <c r="P75" s="2">
        <v>600</v>
      </c>
    </row>
    <row r="76" spans="1:20" x14ac:dyDescent="0.2">
      <c r="A76" s="427">
        <v>42891</v>
      </c>
      <c r="B76" s="250" t="s">
        <v>1689</v>
      </c>
      <c r="H76" s="156" t="s">
        <v>757</v>
      </c>
      <c r="I76" s="156">
        <f>+'Police Wages'!E6</f>
        <v>25.82</v>
      </c>
      <c r="J76" s="305">
        <v>1975</v>
      </c>
      <c r="K76" s="14">
        <f t="shared" si="6"/>
        <v>50994.5</v>
      </c>
      <c r="L76" s="206">
        <v>0.2</v>
      </c>
      <c r="M76" s="14">
        <f t="shared" si="7"/>
        <v>10198.9</v>
      </c>
      <c r="N76" s="427">
        <v>42891</v>
      </c>
      <c r="P76" s="381" t="s">
        <v>338</v>
      </c>
      <c r="R76"/>
      <c r="S76" s="87"/>
    </row>
    <row r="77" spans="1:20" x14ac:dyDescent="0.2">
      <c r="A77" s="427">
        <v>38216</v>
      </c>
      <c r="B77" s="251" t="s">
        <v>1690</v>
      </c>
      <c r="H77" s="156" t="s">
        <v>1354</v>
      </c>
      <c r="I77" s="156">
        <f>+'Police Wages'!I6</f>
        <v>30.19</v>
      </c>
      <c r="J77" s="305">
        <v>1975</v>
      </c>
      <c r="K77" s="14">
        <f t="shared" si="6"/>
        <v>59625.25</v>
      </c>
      <c r="L77" s="206"/>
      <c r="M77" s="14">
        <f t="shared" si="7"/>
        <v>0</v>
      </c>
      <c r="N77" s="427">
        <v>38216</v>
      </c>
      <c r="P77" s="2" t="s">
        <v>338</v>
      </c>
      <c r="R77"/>
      <c r="S77" s="87"/>
    </row>
    <row r="78" spans="1:20" x14ac:dyDescent="0.2">
      <c r="A78" s="165">
        <v>42295</v>
      </c>
      <c r="B78" s="251" t="s">
        <v>1689</v>
      </c>
      <c r="H78" s="156" t="s">
        <v>1228</v>
      </c>
      <c r="I78" s="156">
        <f>+'Police Wages'!G6</f>
        <v>27.93</v>
      </c>
      <c r="J78" s="329">
        <v>1975</v>
      </c>
      <c r="K78" s="156">
        <f t="shared" si="6"/>
        <v>55161.75</v>
      </c>
      <c r="L78" s="330"/>
      <c r="M78" s="14">
        <f t="shared" si="7"/>
        <v>0</v>
      </c>
      <c r="N78" s="165">
        <v>42295</v>
      </c>
      <c r="O78" s="206"/>
      <c r="P78" s="14"/>
      <c r="R78"/>
      <c r="S78" s="87"/>
    </row>
    <row r="79" spans="1:20" x14ac:dyDescent="0.2">
      <c r="A79" s="164">
        <v>42449</v>
      </c>
      <c r="B79" s="251" t="s">
        <v>1689</v>
      </c>
      <c r="H79" s="156" t="s">
        <v>1228</v>
      </c>
      <c r="I79" s="156">
        <f>+'Police Wages'!G6</f>
        <v>27.93</v>
      </c>
      <c r="J79" s="329">
        <v>1975</v>
      </c>
      <c r="K79" s="156">
        <f t="shared" si="6"/>
        <v>55161.75</v>
      </c>
      <c r="L79" s="330"/>
      <c r="M79" s="14">
        <f t="shared" si="7"/>
        <v>0</v>
      </c>
      <c r="N79" s="164">
        <v>42449</v>
      </c>
      <c r="O79" s="206"/>
      <c r="P79" s="14">
        <f>ROUND((+N79*O79),3)</f>
        <v>0</v>
      </c>
      <c r="R79"/>
      <c r="S79" s="87"/>
    </row>
    <row r="80" spans="1:20" x14ac:dyDescent="0.2">
      <c r="A80" s="751">
        <v>43299</v>
      </c>
      <c r="B80" s="653" t="s">
        <v>1689</v>
      </c>
      <c r="H80" s="244" t="s">
        <v>756</v>
      </c>
      <c r="I80" s="244">
        <f>+'Police Wages'!D6</f>
        <v>24.82</v>
      </c>
      <c r="J80" s="415">
        <v>1975</v>
      </c>
      <c r="K80" s="244">
        <f t="shared" si="6"/>
        <v>49019.5</v>
      </c>
      <c r="L80" s="752">
        <v>0.1</v>
      </c>
      <c r="M80" s="244">
        <f>ROUND((+K80*L80),3)</f>
        <v>4901.95</v>
      </c>
      <c r="N80" s="751">
        <v>43299</v>
      </c>
      <c r="O80" s="39"/>
      <c r="R80"/>
      <c r="S80" s="87"/>
    </row>
    <row r="81" spans="1:19" x14ac:dyDescent="0.2">
      <c r="A81" s="165">
        <v>43618</v>
      </c>
      <c r="B81" s="69" t="s">
        <v>1689</v>
      </c>
      <c r="C81" s="81"/>
      <c r="D81" s="753"/>
      <c r="E81" s="753"/>
      <c r="F81" s="753"/>
      <c r="H81" s="156" t="s">
        <v>1047</v>
      </c>
      <c r="I81" s="156">
        <f>+'Police Wages'!C6</f>
        <v>23.86</v>
      </c>
      <c r="J81" s="415">
        <v>1975</v>
      </c>
      <c r="K81" s="244">
        <f t="shared" si="6"/>
        <v>47123.5</v>
      </c>
      <c r="L81" s="330"/>
      <c r="M81" s="156"/>
      <c r="N81" s="165">
        <v>43618</v>
      </c>
      <c r="O81" s="26"/>
      <c r="R81"/>
      <c r="S81" s="87"/>
    </row>
    <row r="82" spans="1:19" x14ac:dyDescent="0.2">
      <c r="M82" s="1">
        <f>SUM(M65:M81)</f>
        <v>87544.792999999991</v>
      </c>
      <c r="R82"/>
      <c r="S82" s="87"/>
    </row>
    <row r="83" spans="1:19" x14ac:dyDescent="0.2">
      <c r="A83" s="414">
        <v>42050</v>
      </c>
      <c r="B83" s="251" t="s">
        <v>380</v>
      </c>
      <c r="H83" s="156" t="s">
        <v>1231</v>
      </c>
      <c r="I83" s="156">
        <f>+'NAGE &amp; Non-Union Wages'!H4</f>
        <v>17.22</v>
      </c>
      <c r="J83" s="415">
        <v>815</v>
      </c>
      <c r="K83" s="342">
        <f>ROUND((+J83*I83),2)</f>
        <v>14034.3</v>
      </c>
      <c r="L83" s="26"/>
      <c r="M83" s="27"/>
      <c r="N83" s="144"/>
      <c r="O83" s="355"/>
      <c r="P83" s="27"/>
      <c r="R83"/>
      <c r="S83" s="87"/>
    </row>
    <row r="84" spans="1:19" x14ac:dyDescent="0.2">
      <c r="A84" s="62"/>
      <c r="B84" s="4"/>
      <c r="C84" s="25"/>
      <c r="D84" s="25"/>
      <c r="H84" s="25"/>
      <c r="I84" s="25"/>
      <c r="J84" s="25"/>
      <c r="K84" s="27"/>
      <c r="L84" s="25"/>
      <c r="M84" s="25"/>
      <c r="O84" s="29"/>
      <c r="P84" s="29"/>
      <c r="R84" s="25"/>
      <c r="S84" s="87"/>
    </row>
    <row r="85" spans="1:19" x14ac:dyDescent="0.2">
      <c r="A85" s="196"/>
      <c r="B85" s="28"/>
      <c r="C85" s="26"/>
      <c r="D85" s="25"/>
      <c r="E85" s="25"/>
      <c r="H85" s="25"/>
      <c r="I85" s="25"/>
      <c r="J85" s="29" t="s">
        <v>1217</v>
      </c>
      <c r="K85" s="25" t="s">
        <v>1218</v>
      </c>
      <c r="L85" s="25"/>
      <c r="M85" s="25"/>
      <c r="N85" s="29"/>
      <c r="O85" s="29"/>
      <c r="P85" s="29"/>
      <c r="R85" s="29"/>
      <c r="S85" s="29"/>
    </row>
    <row r="86" spans="1:19" x14ac:dyDescent="0.2">
      <c r="A86" s="4"/>
      <c r="B86" s="4" t="s">
        <v>1618</v>
      </c>
      <c r="C86" s="25"/>
      <c r="D86" s="25"/>
      <c r="E86" s="25"/>
      <c r="H86" s="25"/>
      <c r="I86" s="25"/>
      <c r="J86" s="4" t="s">
        <v>1363</v>
      </c>
      <c r="K86" s="4" t="s">
        <v>1363</v>
      </c>
      <c r="L86" s="25"/>
      <c r="M86" s="25"/>
      <c r="N86" s="4"/>
      <c r="O86" s="4"/>
      <c r="P86" s="4"/>
      <c r="R86" s="4"/>
      <c r="S86" s="4"/>
    </row>
    <row r="87" spans="1:19" x14ac:dyDescent="0.2">
      <c r="A87" s="4"/>
      <c r="B87" s="4" t="s">
        <v>860</v>
      </c>
      <c r="E87" s="25"/>
      <c r="H87" s="25"/>
      <c r="I87" s="25"/>
      <c r="J87" s="356">
        <f>+K87</f>
        <v>47123.5</v>
      </c>
      <c r="K87" s="356">
        <f>+K81</f>
        <v>47123.5</v>
      </c>
      <c r="L87" s="25"/>
      <c r="M87" s="25"/>
      <c r="N87" s="4"/>
      <c r="O87" s="4"/>
      <c r="P87" s="4"/>
      <c r="R87" s="4"/>
      <c r="S87" s="4"/>
    </row>
    <row r="88" spans="1:19" x14ac:dyDescent="0.2">
      <c r="A88" s="4"/>
      <c r="B88" s="4" t="s">
        <v>681</v>
      </c>
      <c r="E88" s="25"/>
      <c r="H88" s="25"/>
      <c r="I88" s="25"/>
      <c r="J88" s="356">
        <f t="shared" ref="J88:J94" si="8">+K88</f>
        <v>0</v>
      </c>
      <c r="K88" s="356"/>
      <c r="L88" s="25"/>
      <c r="M88" s="25"/>
      <c r="N88" s="4"/>
      <c r="O88" s="4"/>
      <c r="P88" s="4"/>
      <c r="R88" s="4"/>
      <c r="S88" s="4"/>
    </row>
    <row r="89" spans="1:19" x14ac:dyDescent="0.2">
      <c r="A89" s="4"/>
      <c r="B89" s="4" t="s">
        <v>861</v>
      </c>
      <c r="E89" s="25"/>
      <c r="H89" s="25"/>
      <c r="I89" s="25"/>
      <c r="J89" s="356">
        <f t="shared" si="8"/>
        <v>2184.16</v>
      </c>
      <c r="K89" s="356">
        <f>I80*88</f>
        <v>2184.16</v>
      </c>
      <c r="L89" s="25"/>
      <c r="M89" s="25"/>
      <c r="N89" s="4"/>
      <c r="O89" s="4"/>
      <c r="P89" s="4"/>
      <c r="R89" s="4"/>
      <c r="S89" s="4"/>
    </row>
    <row r="90" spans="1:19" x14ac:dyDescent="0.2">
      <c r="A90" s="4"/>
      <c r="B90" s="4" t="s">
        <v>237</v>
      </c>
      <c r="E90" s="25"/>
      <c r="H90" s="25"/>
      <c r="I90" s="25"/>
      <c r="J90" s="356">
        <f t="shared" si="8"/>
        <v>222</v>
      </c>
      <c r="K90" s="356">
        <f>ROUND((SUM(K87:K89)*0.0045),0)</f>
        <v>222</v>
      </c>
      <c r="L90" s="25"/>
      <c r="M90" s="25"/>
      <c r="N90" s="4"/>
      <c r="O90" s="4"/>
      <c r="P90" s="4"/>
      <c r="R90" s="4"/>
      <c r="S90" s="4"/>
    </row>
    <row r="91" spans="1:19" x14ac:dyDescent="0.2">
      <c r="B91" s="4" t="s">
        <v>863</v>
      </c>
      <c r="J91" s="356">
        <f t="shared" si="8"/>
        <v>4437.6894000000002</v>
      </c>
      <c r="K91" s="488">
        <f>SUM(K87:K89)*0.09</f>
        <v>4437.6894000000002</v>
      </c>
      <c r="N91"/>
    </row>
    <row r="92" spans="1:19" x14ac:dyDescent="0.2">
      <c r="B92" s="4" t="s">
        <v>862</v>
      </c>
      <c r="J92" s="356">
        <f t="shared" si="8"/>
        <v>700</v>
      </c>
      <c r="K92" s="488">
        <v>700</v>
      </c>
      <c r="N92"/>
    </row>
    <row r="93" spans="1:19" x14ac:dyDescent="0.2">
      <c r="B93" s="4" t="s">
        <v>236</v>
      </c>
      <c r="J93" s="356">
        <f t="shared" si="8"/>
        <v>154.56</v>
      </c>
      <c r="K93" s="488">
        <f>12.88*12</f>
        <v>154.56</v>
      </c>
      <c r="N93"/>
    </row>
    <row r="94" spans="1:19" x14ac:dyDescent="0.2">
      <c r="B94" s="4" t="s">
        <v>235</v>
      </c>
      <c r="E94" s="235"/>
      <c r="H94" s="235"/>
      <c r="I94" s="235"/>
      <c r="J94" s="356">
        <f t="shared" si="8"/>
        <v>19135</v>
      </c>
      <c r="K94" s="488">
        <v>19135</v>
      </c>
      <c r="L94" s="235" t="s">
        <v>1637</v>
      </c>
      <c r="N94"/>
    </row>
    <row r="95" spans="1:19" x14ac:dyDescent="0.2">
      <c r="B95" s="4" t="s">
        <v>431</v>
      </c>
      <c r="J95" s="488">
        <f>SUM(J87:J94)</f>
        <v>73956.909400000004</v>
      </c>
      <c r="K95" s="488">
        <f>SUM(K87:K94)</f>
        <v>73956.909400000004</v>
      </c>
      <c r="N95"/>
    </row>
    <row r="96" spans="1:19" x14ac:dyDescent="0.2">
      <c r="C96" s="121"/>
      <c r="J96"/>
      <c r="K96" s="1"/>
      <c r="N96"/>
    </row>
    <row r="97" spans="1:14" ht="13.5" thickBot="1" x14ac:dyDescent="0.25">
      <c r="C97" s="121"/>
      <c r="J97"/>
      <c r="K97" s="1">
        <v>50250</v>
      </c>
      <c r="L97" s="235" t="s">
        <v>1627</v>
      </c>
      <c r="N97"/>
    </row>
    <row r="98" spans="1:14" ht="13.5" thickTop="1" x14ac:dyDescent="0.2">
      <c r="A98" s="517"/>
      <c r="B98" s="518"/>
      <c r="C98" s="519" t="s">
        <v>122</v>
      </c>
      <c r="D98" s="520" t="s">
        <v>122</v>
      </c>
      <c r="E98" s="520" t="s">
        <v>122</v>
      </c>
      <c r="H98" s="521" t="s">
        <v>542</v>
      </c>
      <c r="I98" s="522" t="s">
        <v>9</v>
      </c>
      <c r="J98" s="523" t="s">
        <v>1073</v>
      </c>
      <c r="K98" s="522" t="s">
        <v>682</v>
      </c>
      <c r="L98" s="524"/>
      <c r="M98" s="523"/>
    </row>
    <row r="99" spans="1:14" ht="13.5" thickBot="1" x14ac:dyDescent="0.25">
      <c r="A99" s="525" t="s">
        <v>123</v>
      </c>
      <c r="B99" s="526"/>
      <c r="C99" s="527" t="s">
        <v>334</v>
      </c>
      <c r="D99" s="527" t="s">
        <v>718</v>
      </c>
      <c r="E99" s="528" t="s">
        <v>734</v>
      </c>
      <c r="H99" s="529" t="s">
        <v>899</v>
      </c>
      <c r="I99" s="529" t="s">
        <v>900</v>
      </c>
      <c r="J99" s="528" t="s">
        <v>1075</v>
      </c>
      <c r="K99" s="530" t="s">
        <v>1075</v>
      </c>
      <c r="L99" s="531" t="s">
        <v>1074</v>
      </c>
      <c r="M99" s="529"/>
    </row>
    <row r="100" spans="1:14" ht="13.5" thickTop="1" x14ac:dyDescent="0.2">
      <c r="A100" s="548">
        <v>5112</v>
      </c>
      <c r="B100" s="540" t="s">
        <v>684</v>
      </c>
      <c r="C100" s="544">
        <v>558256.29</v>
      </c>
      <c r="D100" s="536">
        <v>673834.28</v>
      </c>
      <c r="E100" s="536">
        <v>754753.01</v>
      </c>
      <c r="H100" s="568">
        <f t="shared" ref="H100:H110" si="9">+J9</f>
        <v>1029046</v>
      </c>
      <c r="I100" s="568">
        <f t="shared" ref="I100:I110" si="10">+L9</f>
        <v>1066247</v>
      </c>
      <c r="J100" s="539">
        <f t="shared" ref="J100:J142" si="11">+I100-H100</f>
        <v>37201</v>
      </c>
      <c r="K100" s="545">
        <f t="shared" ref="K100:K142" si="12">IF(H100+I100&lt;&gt;0,IF(H100&lt;&gt;0,IF(J100&lt;&gt;0,ROUND((+J100/H100),4),""),1),"")</f>
        <v>3.6200000000000003E-2</v>
      </c>
      <c r="L100" s="538" t="s">
        <v>1606</v>
      </c>
      <c r="M100" s="539"/>
    </row>
    <row r="101" spans="1:14" x14ac:dyDescent="0.2">
      <c r="A101" s="548">
        <v>5113</v>
      </c>
      <c r="B101" s="540" t="s">
        <v>14</v>
      </c>
      <c r="C101" s="544">
        <v>10745.01</v>
      </c>
      <c r="D101" s="536">
        <f>105.98+10950.18</f>
        <v>11056.16</v>
      </c>
      <c r="E101" s="536">
        <v>10477.32</v>
      </c>
      <c r="H101" s="568">
        <f t="shared" si="9"/>
        <v>13521</v>
      </c>
      <c r="I101" s="568">
        <f t="shared" si="10"/>
        <v>14034</v>
      </c>
      <c r="J101" s="539">
        <f t="shared" si="11"/>
        <v>513</v>
      </c>
      <c r="K101" s="545">
        <f t="shared" si="12"/>
        <v>3.7900000000000003E-2</v>
      </c>
      <c r="L101" s="538" t="s">
        <v>1606</v>
      </c>
      <c r="M101" s="539"/>
    </row>
    <row r="102" spans="1:14" x14ac:dyDescent="0.2">
      <c r="A102" s="551">
        <v>5114</v>
      </c>
      <c r="B102" s="540" t="s">
        <v>155</v>
      </c>
      <c r="C102" s="544">
        <f>95.03+22206.8</f>
        <v>22301.829999999998</v>
      </c>
      <c r="D102" s="544">
        <f>15705.21+1162.29</f>
        <v>16867.5</v>
      </c>
      <c r="E102" s="544">
        <v>22998.86</v>
      </c>
      <c r="H102" s="568">
        <f t="shared" si="9"/>
        <v>38440</v>
      </c>
      <c r="I102" s="568">
        <f t="shared" si="10"/>
        <v>38440</v>
      </c>
      <c r="J102" s="539">
        <f t="shared" si="11"/>
        <v>0</v>
      </c>
      <c r="K102" s="545" t="str">
        <f t="shared" si="12"/>
        <v/>
      </c>
      <c r="L102" s="538"/>
      <c r="M102" s="539"/>
    </row>
    <row r="103" spans="1:14" x14ac:dyDescent="0.2">
      <c r="A103" s="551">
        <v>5132</v>
      </c>
      <c r="B103" s="540" t="s">
        <v>156</v>
      </c>
      <c r="C103" s="544">
        <v>133928.87</v>
      </c>
      <c r="D103" s="544">
        <v>109534.24</v>
      </c>
      <c r="E103" s="544">
        <v>122687.36</v>
      </c>
      <c r="H103" s="568">
        <f t="shared" si="9"/>
        <v>145249</v>
      </c>
      <c r="I103" s="568">
        <f t="shared" si="10"/>
        <v>145249</v>
      </c>
      <c r="J103" s="539">
        <f t="shared" si="11"/>
        <v>0</v>
      </c>
      <c r="K103" s="545" t="str">
        <f t="shared" si="12"/>
        <v/>
      </c>
      <c r="L103" s="538"/>
      <c r="M103" s="539"/>
    </row>
    <row r="104" spans="1:14" x14ac:dyDescent="0.2">
      <c r="A104" s="551">
        <v>5135</v>
      </c>
      <c r="B104" s="540" t="s">
        <v>157</v>
      </c>
      <c r="C104" s="544">
        <v>13416.61</v>
      </c>
      <c r="D104" s="544">
        <v>8222.52</v>
      </c>
      <c r="E104" s="544">
        <v>6134.34</v>
      </c>
      <c r="H104" s="568">
        <f t="shared" si="9"/>
        <v>8000</v>
      </c>
      <c r="I104" s="568">
        <f t="shared" si="10"/>
        <v>8000</v>
      </c>
      <c r="J104" s="539">
        <f t="shared" si="11"/>
        <v>0</v>
      </c>
      <c r="K104" s="545" t="str">
        <f t="shared" si="12"/>
        <v/>
      </c>
      <c r="L104" s="538"/>
      <c r="M104" s="539"/>
    </row>
    <row r="105" spans="1:14" x14ac:dyDescent="0.2">
      <c r="A105" s="551">
        <v>5141</v>
      </c>
      <c r="B105" s="540" t="s">
        <v>158</v>
      </c>
      <c r="C105" s="544">
        <v>76334.600000000006</v>
      </c>
      <c r="D105" s="544">
        <v>84591.45</v>
      </c>
      <c r="E105" s="544">
        <v>89808.42</v>
      </c>
      <c r="H105" s="568">
        <f t="shared" si="9"/>
        <v>84377</v>
      </c>
      <c r="I105" s="568">
        <f t="shared" si="10"/>
        <v>87545</v>
      </c>
      <c r="J105" s="539">
        <f t="shared" si="11"/>
        <v>3168</v>
      </c>
      <c r="K105" s="545">
        <f t="shared" si="12"/>
        <v>3.7499999999999999E-2</v>
      </c>
      <c r="L105" s="538" t="s">
        <v>1606</v>
      </c>
      <c r="M105" s="539"/>
    </row>
    <row r="106" spans="1:14" x14ac:dyDescent="0.2">
      <c r="A106" s="551">
        <v>5142</v>
      </c>
      <c r="B106" s="540" t="s">
        <v>159</v>
      </c>
      <c r="C106" s="544">
        <v>9209.4</v>
      </c>
      <c r="D106" s="544">
        <v>9918.3799999999992</v>
      </c>
      <c r="E106" s="544">
        <v>10383.99</v>
      </c>
      <c r="H106" s="568">
        <f t="shared" si="9"/>
        <v>15446</v>
      </c>
      <c r="I106" s="568">
        <f t="shared" si="10"/>
        <v>15446</v>
      </c>
      <c r="J106" s="539">
        <f t="shared" si="11"/>
        <v>0</v>
      </c>
      <c r="K106" s="545" t="str">
        <f t="shared" si="12"/>
        <v/>
      </c>
      <c r="L106" s="538"/>
      <c r="M106" s="539"/>
    </row>
    <row r="107" spans="1:14" x14ac:dyDescent="0.2">
      <c r="A107" s="551">
        <v>5143</v>
      </c>
      <c r="B107" s="540" t="s">
        <v>160</v>
      </c>
      <c r="C107" s="544">
        <v>36513.300000000003</v>
      </c>
      <c r="D107" s="544">
        <v>45805.83</v>
      </c>
      <c r="E107" s="544">
        <v>52853.36</v>
      </c>
      <c r="H107" s="568">
        <f t="shared" si="9"/>
        <v>72095</v>
      </c>
      <c r="I107" s="568">
        <f t="shared" si="10"/>
        <v>72095</v>
      </c>
      <c r="J107" s="539">
        <f t="shared" si="11"/>
        <v>0</v>
      </c>
      <c r="K107" s="545" t="str">
        <f t="shared" si="12"/>
        <v/>
      </c>
      <c r="L107" s="538"/>
      <c r="M107" s="539"/>
    </row>
    <row r="108" spans="1:14" x14ac:dyDescent="0.2">
      <c r="A108" s="551">
        <v>5144</v>
      </c>
      <c r="B108" s="540" t="s">
        <v>152</v>
      </c>
      <c r="C108" s="544">
        <v>3200</v>
      </c>
      <c r="D108" s="544">
        <v>3200</v>
      </c>
      <c r="E108" s="544">
        <v>2900</v>
      </c>
      <c r="H108" s="568">
        <f t="shared" si="9"/>
        <v>600</v>
      </c>
      <c r="I108" s="568">
        <f t="shared" si="10"/>
        <v>600</v>
      </c>
      <c r="J108" s="539">
        <f t="shared" si="11"/>
        <v>0</v>
      </c>
      <c r="K108" s="545" t="str">
        <f t="shared" si="12"/>
        <v/>
      </c>
      <c r="L108" s="538"/>
      <c r="M108" s="539"/>
    </row>
    <row r="109" spans="1:14" x14ac:dyDescent="0.2">
      <c r="A109" s="551">
        <v>5145</v>
      </c>
      <c r="B109" s="540" t="s">
        <v>597</v>
      </c>
      <c r="C109" s="546">
        <v>2988.86</v>
      </c>
      <c r="D109" s="546">
        <v>3254.28</v>
      </c>
      <c r="E109" s="546">
        <v>3467.77</v>
      </c>
      <c r="H109" s="568">
        <f t="shared" si="9"/>
        <v>3900</v>
      </c>
      <c r="I109" s="568">
        <f t="shared" si="10"/>
        <v>3900</v>
      </c>
      <c r="J109" s="539">
        <f t="shared" si="11"/>
        <v>0</v>
      </c>
      <c r="K109" s="545" t="str">
        <f t="shared" si="12"/>
        <v/>
      </c>
      <c r="L109" s="538"/>
      <c r="M109" s="539"/>
    </row>
    <row r="110" spans="1:14" x14ac:dyDescent="0.2">
      <c r="A110" s="551">
        <v>5147</v>
      </c>
      <c r="B110" s="540" t="s">
        <v>1044</v>
      </c>
      <c r="C110" s="546"/>
      <c r="D110" s="546"/>
      <c r="E110" s="546"/>
      <c r="H110" s="568">
        <f t="shared" si="9"/>
        <v>4000</v>
      </c>
      <c r="I110" s="568">
        <f t="shared" si="10"/>
        <v>4000</v>
      </c>
      <c r="J110" s="539">
        <f t="shared" si="11"/>
        <v>0</v>
      </c>
      <c r="K110" s="545" t="str">
        <f t="shared" si="12"/>
        <v/>
      </c>
      <c r="L110" s="538"/>
      <c r="M110" s="539"/>
    </row>
    <row r="111" spans="1:14" x14ac:dyDescent="0.2">
      <c r="A111" s="551">
        <v>5151</v>
      </c>
      <c r="B111" s="540" t="s">
        <v>372</v>
      </c>
      <c r="C111" s="546">
        <v>44408.6</v>
      </c>
      <c r="D111" s="546">
        <v>8051.52</v>
      </c>
      <c r="E111" s="546">
        <v>7516.41</v>
      </c>
      <c r="H111" s="568">
        <f t="shared" ref="H111:H116" si="13">+J22</f>
        <v>0</v>
      </c>
      <c r="I111" s="568">
        <f t="shared" ref="I111:I116" si="14">+L22</f>
        <v>0</v>
      </c>
      <c r="J111" s="539">
        <f t="shared" si="11"/>
        <v>0</v>
      </c>
      <c r="K111" s="545" t="str">
        <f t="shared" si="12"/>
        <v/>
      </c>
      <c r="L111" s="538"/>
      <c r="M111" s="539"/>
    </row>
    <row r="112" spans="1:14" x14ac:dyDescent="0.2">
      <c r="A112" s="551">
        <v>5152</v>
      </c>
      <c r="B112" s="540" t="s">
        <v>373</v>
      </c>
      <c r="C112" s="546">
        <v>4330.43</v>
      </c>
      <c r="D112" s="546">
        <v>716.25</v>
      </c>
      <c r="E112" s="546">
        <v>751.63</v>
      </c>
      <c r="H112" s="568">
        <f t="shared" si="13"/>
        <v>0</v>
      </c>
      <c r="I112" s="568">
        <f t="shared" si="14"/>
        <v>0</v>
      </c>
      <c r="J112" s="539">
        <f t="shared" si="11"/>
        <v>0</v>
      </c>
      <c r="K112" s="545" t="str">
        <f t="shared" si="12"/>
        <v/>
      </c>
      <c r="L112" s="538"/>
      <c r="M112" s="539"/>
    </row>
    <row r="113" spans="1:13" x14ac:dyDescent="0.2">
      <c r="A113" s="551">
        <v>5153</v>
      </c>
      <c r="B113" s="540" t="s">
        <v>212</v>
      </c>
      <c r="C113" s="546">
        <v>2110.3200000000002</v>
      </c>
      <c r="D113" s="546">
        <v>237.36</v>
      </c>
      <c r="E113" s="546">
        <v>249.28</v>
      </c>
      <c r="H113" s="568">
        <f t="shared" si="13"/>
        <v>0</v>
      </c>
      <c r="I113" s="568">
        <f t="shared" si="14"/>
        <v>0</v>
      </c>
      <c r="J113" s="539">
        <f t="shared" si="11"/>
        <v>0</v>
      </c>
      <c r="K113" s="545" t="str">
        <f t="shared" si="12"/>
        <v/>
      </c>
      <c r="L113" s="538"/>
      <c r="M113" s="539"/>
    </row>
    <row r="114" spans="1:13" x14ac:dyDescent="0.2">
      <c r="A114" s="551">
        <v>5191</v>
      </c>
      <c r="B114" s="540" t="s">
        <v>437</v>
      </c>
      <c r="C114" s="546">
        <v>1250</v>
      </c>
      <c r="D114" s="546">
        <v>1250</v>
      </c>
      <c r="E114" s="546">
        <v>2000</v>
      </c>
      <c r="H114" s="568">
        <f t="shared" si="13"/>
        <v>4000</v>
      </c>
      <c r="I114" s="568">
        <f t="shared" si="14"/>
        <v>7500</v>
      </c>
      <c r="J114" s="539">
        <f t="shared" si="11"/>
        <v>3500</v>
      </c>
      <c r="K114" s="545">
        <f t="shared" si="12"/>
        <v>0.875</v>
      </c>
      <c r="L114" s="538" t="s">
        <v>1607</v>
      </c>
      <c r="M114" s="539"/>
    </row>
    <row r="115" spans="1:13" x14ac:dyDescent="0.2">
      <c r="A115" s="551">
        <v>5193</v>
      </c>
      <c r="B115" s="540" t="s">
        <v>287</v>
      </c>
      <c r="C115" s="546"/>
      <c r="D115" s="546"/>
      <c r="E115" s="546"/>
      <c r="H115" s="568">
        <f t="shared" si="13"/>
        <v>0</v>
      </c>
      <c r="I115" s="568">
        <f t="shared" si="14"/>
        <v>0</v>
      </c>
      <c r="J115" s="539">
        <f t="shared" si="11"/>
        <v>0</v>
      </c>
      <c r="K115" s="545" t="str">
        <f t="shared" si="12"/>
        <v/>
      </c>
      <c r="L115" s="538"/>
      <c r="M115" s="539"/>
    </row>
    <row r="116" spans="1:13" x14ac:dyDescent="0.2">
      <c r="A116" s="551">
        <v>5195</v>
      </c>
      <c r="B116" s="540" t="s">
        <v>161</v>
      </c>
      <c r="C116" s="546">
        <v>15543.38</v>
      </c>
      <c r="D116" s="546">
        <v>42221.279999999999</v>
      </c>
      <c r="E116" s="546">
        <v>32224.55</v>
      </c>
      <c r="H116" s="568">
        <f t="shared" si="13"/>
        <v>45000</v>
      </c>
      <c r="I116" s="568">
        <f t="shared" si="14"/>
        <v>46800</v>
      </c>
      <c r="J116" s="539">
        <f t="shared" si="11"/>
        <v>1800</v>
      </c>
      <c r="K116" s="545">
        <f t="shared" si="12"/>
        <v>0.04</v>
      </c>
      <c r="L116" s="538" t="s">
        <v>1608</v>
      </c>
      <c r="M116" s="539"/>
    </row>
    <row r="117" spans="1:13" x14ac:dyDescent="0.2">
      <c r="A117" s="551">
        <v>5242</v>
      </c>
      <c r="B117" s="540" t="s">
        <v>572</v>
      </c>
      <c r="C117" s="544">
        <v>1923.55</v>
      </c>
      <c r="D117" s="544">
        <v>1658.62</v>
      </c>
      <c r="E117" s="544">
        <v>1894.84</v>
      </c>
      <c r="H117" s="543">
        <f t="shared" ref="H117:H128" si="15">+J30</f>
        <v>1750</v>
      </c>
      <c r="I117" s="568">
        <f t="shared" ref="I117:I128" si="16">+L30</f>
        <v>1750</v>
      </c>
      <c r="J117" s="539">
        <f t="shared" si="11"/>
        <v>0</v>
      </c>
      <c r="K117" s="545" t="str">
        <f t="shared" si="12"/>
        <v/>
      </c>
      <c r="L117" s="538"/>
      <c r="M117" s="539"/>
    </row>
    <row r="118" spans="1:13" x14ac:dyDescent="0.2">
      <c r="A118" s="551">
        <v>5247</v>
      </c>
      <c r="B118" s="540" t="s">
        <v>1043</v>
      </c>
      <c r="C118" s="544"/>
      <c r="D118" s="544"/>
      <c r="E118" s="544"/>
      <c r="H118" s="543">
        <f t="shared" si="15"/>
        <v>21000</v>
      </c>
      <c r="I118" s="568">
        <f t="shared" si="16"/>
        <v>24000</v>
      </c>
      <c r="J118" s="539">
        <f t="shared" si="11"/>
        <v>3000</v>
      </c>
      <c r="K118" s="545">
        <f t="shared" si="12"/>
        <v>0.1429</v>
      </c>
      <c r="L118" s="538" t="s">
        <v>1603</v>
      </c>
      <c r="M118" s="539"/>
    </row>
    <row r="119" spans="1:13" x14ac:dyDescent="0.2">
      <c r="A119" s="551">
        <v>5250</v>
      </c>
      <c r="B119" s="540" t="s">
        <v>553</v>
      </c>
      <c r="C119" s="544">
        <v>27200.82</v>
      </c>
      <c r="D119" s="544">
        <v>21469.42</v>
      </c>
      <c r="E119" s="544">
        <v>28516.33</v>
      </c>
      <c r="H119" s="543">
        <f t="shared" si="15"/>
        <v>11000</v>
      </c>
      <c r="I119" s="568">
        <f t="shared" si="16"/>
        <v>11000</v>
      </c>
      <c r="J119" s="539">
        <f t="shared" si="11"/>
        <v>0</v>
      </c>
      <c r="K119" s="545" t="str">
        <f t="shared" si="12"/>
        <v/>
      </c>
      <c r="L119" s="538"/>
      <c r="M119" s="539"/>
    </row>
    <row r="120" spans="1:13" x14ac:dyDescent="0.2">
      <c r="A120" s="551">
        <v>5260</v>
      </c>
      <c r="B120" s="540" t="s">
        <v>865</v>
      </c>
      <c r="C120" s="554"/>
      <c r="D120" s="554"/>
      <c r="E120" s="554"/>
      <c r="H120" s="543">
        <f t="shared" si="15"/>
        <v>1360</v>
      </c>
      <c r="I120" s="568">
        <f t="shared" si="16"/>
        <v>1360</v>
      </c>
      <c r="J120" s="539">
        <f t="shared" si="11"/>
        <v>0</v>
      </c>
      <c r="K120" s="545" t="str">
        <f t="shared" si="12"/>
        <v/>
      </c>
      <c r="L120" s="538"/>
      <c r="M120" s="539"/>
    </row>
    <row r="121" spans="1:13" x14ac:dyDescent="0.2">
      <c r="A121" s="551">
        <v>5314</v>
      </c>
      <c r="B121" s="540" t="s">
        <v>612</v>
      </c>
      <c r="C121" s="554"/>
      <c r="D121" s="554"/>
      <c r="E121" s="554"/>
      <c r="H121" s="543">
        <f t="shared" si="15"/>
        <v>6000</v>
      </c>
      <c r="I121" s="568">
        <f t="shared" si="16"/>
        <v>6000</v>
      </c>
      <c r="J121" s="539">
        <f t="shared" si="11"/>
        <v>0</v>
      </c>
      <c r="K121" s="545" t="str">
        <f t="shared" si="12"/>
        <v/>
      </c>
      <c r="L121" s="780"/>
      <c r="M121" s="539"/>
    </row>
    <row r="122" spans="1:13" x14ac:dyDescent="0.2">
      <c r="A122" s="551">
        <v>5315</v>
      </c>
      <c r="B122" s="540" t="s">
        <v>719</v>
      </c>
      <c r="C122" s="554">
        <v>11637.02</v>
      </c>
      <c r="D122" s="554">
        <v>0</v>
      </c>
      <c r="E122" s="554">
        <v>3445.6</v>
      </c>
      <c r="H122" s="543">
        <f t="shared" si="15"/>
        <v>6000</v>
      </c>
      <c r="I122" s="568">
        <f t="shared" si="16"/>
        <v>0</v>
      </c>
      <c r="J122" s="539">
        <f t="shared" si="11"/>
        <v>-6000</v>
      </c>
      <c r="K122" s="545">
        <f t="shared" si="12"/>
        <v>-1</v>
      </c>
      <c r="L122" s="538" t="s">
        <v>1602</v>
      </c>
      <c r="M122" s="539"/>
    </row>
    <row r="123" spans="1:13" x14ac:dyDescent="0.2">
      <c r="A123" s="551">
        <v>5318</v>
      </c>
      <c r="B123" s="540" t="s">
        <v>163</v>
      </c>
      <c r="C123" s="544">
        <v>389.48</v>
      </c>
      <c r="D123" s="544">
        <v>414.14</v>
      </c>
      <c r="E123" s="544">
        <v>251.14</v>
      </c>
      <c r="H123" s="543">
        <f t="shared" si="15"/>
        <v>300</v>
      </c>
      <c r="I123" s="568">
        <f t="shared" si="16"/>
        <v>300</v>
      </c>
      <c r="J123" s="539">
        <f t="shared" si="11"/>
        <v>0</v>
      </c>
      <c r="K123" s="545" t="str">
        <f t="shared" si="12"/>
        <v/>
      </c>
      <c r="L123" s="538"/>
      <c r="M123" s="539"/>
    </row>
    <row r="124" spans="1:13" x14ac:dyDescent="0.2">
      <c r="A124" s="551">
        <v>5319</v>
      </c>
      <c r="B124" s="540" t="s">
        <v>164</v>
      </c>
      <c r="C124" s="544">
        <v>377</v>
      </c>
      <c r="D124" s="544">
        <v>365</v>
      </c>
      <c r="E124" s="544">
        <v>225</v>
      </c>
      <c r="H124" s="543">
        <f t="shared" si="15"/>
        <v>300</v>
      </c>
      <c r="I124" s="568">
        <f t="shared" si="16"/>
        <v>300</v>
      </c>
      <c r="J124" s="539">
        <f t="shared" si="11"/>
        <v>0</v>
      </c>
      <c r="K124" s="545" t="str">
        <f t="shared" si="12"/>
        <v/>
      </c>
      <c r="L124" s="538"/>
      <c r="M124" s="539"/>
    </row>
    <row r="125" spans="1:13" x14ac:dyDescent="0.2">
      <c r="A125" s="551">
        <v>5341</v>
      </c>
      <c r="B125" s="540" t="s">
        <v>136</v>
      </c>
      <c r="C125" s="544">
        <v>9988.5499999999993</v>
      </c>
      <c r="D125" s="544">
        <v>9838.16</v>
      </c>
      <c r="E125" s="544">
        <v>9610.84</v>
      </c>
      <c r="H125" s="543">
        <f t="shared" si="15"/>
        <v>10000</v>
      </c>
      <c r="I125" s="568">
        <f t="shared" si="16"/>
        <v>10000</v>
      </c>
      <c r="J125" s="539">
        <f t="shared" si="11"/>
        <v>0</v>
      </c>
      <c r="K125" s="545" t="str">
        <f t="shared" si="12"/>
        <v/>
      </c>
      <c r="L125" s="538"/>
      <c r="M125" s="539"/>
    </row>
    <row r="126" spans="1:13" x14ac:dyDescent="0.2">
      <c r="A126" s="551">
        <v>5344</v>
      </c>
      <c r="B126" s="540" t="s">
        <v>137</v>
      </c>
      <c r="C126" s="544">
        <v>485.47</v>
      </c>
      <c r="D126" s="544">
        <v>433.04</v>
      </c>
      <c r="E126" s="544">
        <v>431.03</v>
      </c>
      <c r="H126" s="543">
        <f t="shared" si="15"/>
        <v>500</v>
      </c>
      <c r="I126" s="568">
        <f t="shared" si="16"/>
        <v>500</v>
      </c>
      <c r="J126" s="539">
        <f t="shared" si="11"/>
        <v>0</v>
      </c>
      <c r="K126" s="545" t="str">
        <f t="shared" si="12"/>
        <v/>
      </c>
      <c r="L126" s="538"/>
      <c r="M126" s="539"/>
    </row>
    <row r="127" spans="1:13" x14ac:dyDescent="0.2">
      <c r="A127" s="551">
        <v>5345</v>
      </c>
      <c r="B127" s="540" t="s">
        <v>138</v>
      </c>
      <c r="C127" s="544">
        <v>60</v>
      </c>
      <c r="D127" s="544">
        <v>312.44</v>
      </c>
      <c r="E127" s="544">
        <v>834.4</v>
      </c>
      <c r="H127" s="543">
        <f t="shared" si="15"/>
        <v>500</v>
      </c>
      <c r="I127" s="568">
        <f t="shared" si="16"/>
        <v>500</v>
      </c>
      <c r="J127" s="539">
        <f t="shared" si="11"/>
        <v>0</v>
      </c>
      <c r="K127" s="545" t="str">
        <f t="shared" si="12"/>
        <v/>
      </c>
      <c r="L127" s="538"/>
      <c r="M127" s="539"/>
    </row>
    <row r="128" spans="1:13" ht="13.5" thickBot="1" x14ac:dyDescent="0.25">
      <c r="A128" s="551">
        <v>5350</v>
      </c>
      <c r="B128" s="540" t="s">
        <v>434</v>
      </c>
      <c r="C128" s="536">
        <v>4888</v>
      </c>
      <c r="D128" s="536">
        <v>8902</v>
      </c>
      <c r="E128" s="536">
        <v>2516</v>
      </c>
      <c r="H128" s="543">
        <f t="shared" si="15"/>
        <v>2100</v>
      </c>
      <c r="I128" s="568">
        <f t="shared" si="16"/>
        <v>2100</v>
      </c>
      <c r="J128" s="539">
        <f t="shared" si="11"/>
        <v>0</v>
      </c>
      <c r="K128" s="545" t="str">
        <f t="shared" si="12"/>
        <v/>
      </c>
      <c r="L128" s="538"/>
      <c r="M128" s="539"/>
    </row>
    <row r="129" spans="1:13" ht="13.5" thickTop="1" x14ac:dyDescent="0.2">
      <c r="A129" s="517"/>
      <c r="B129" s="518"/>
      <c r="C129" s="519" t="s">
        <v>122</v>
      </c>
      <c r="D129" s="520" t="s">
        <v>122</v>
      </c>
      <c r="E129" s="520" t="s">
        <v>122</v>
      </c>
      <c r="H129" s="521" t="s">
        <v>542</v>
      </c>
      <c r="I129" s="522" t="s">
        <v>9</v>
      </c>
      <c r="J129" s="523" t="s">
        <v>1073</v>
      </c>
      <c r="K129" s="522" t="s">
        <v>682</v>
      </c>
      <c r="L129" s="524"/>
      <c r="M129" s="523"/>
    </row>
    <row r="130" spans="1:13" ht="13.5" thickBot="1" x14ac:dyDescent="0.25">
      <c r="A130" s="525" t="s">
        <v>123</v>
      </c>
      <c r="B130" s="526"/>
      <c r="C130" s="527" t="s">
        <v>334</v>
      </c>
      <c r="D130" s="527" t="s">
        <v>718</v>
      </c>
      <c r="E130" s="528" t="s">
        <v>734</v>
      </c>
      <c r="H130" s="529" t="s">
        <v>899</v>
      </c>
      <c r="I130" s="529" t="s">
        <v>900</v>
      </c>
      <c r="J130" s="528" t="s">
        <v>1075</v>
      </c>
      <c r="K130" s="530" t="s">
        <v>1075</v>
      </c>
      <c r="L130" s="531" t="s">
        <v>1074</v>
      </c>
      <c r="M130" s="529"/>
    </row>
    <row r="131" spans="1:13" ht="13.5" thickTop="1" x14ac:dyDescent="0.2">
      <c r="A131" s="551">
        <v>5451</v>
      </c>
      <c r="B131" s="540" t="s">
        <v>197</v>
      </c>
      <c r="C131" s="536">
        <v>151.84</v>
      </c>
      <c r="D131" s="536">
        <v>313.04000000000002</v>
      </c>
      <c r="E131" s="536">
        <v>240.78</v>
      </c>
      <c r="H131" s="543">
        <f t="shared" ref="H131:H141" si="17">+J42</f>
        <v>400</v>
      </c>
      <c r="I131" s="568">
        <f t="shared" ref="I131:I141" si="18">+L42</f>
        <v>300</v>
      </c>
      <c r="J131" s="539">
        <f t="shared" si="11"/>
        <v>-100</v>
      </c>
      <c r="K131" s="545">
        <f t="shared" si="12"/>
        <v>-0.25</v>
      </c>
      <c r="L131" s="538" t="s">
        <v>1609</v>
      </c>
      <c r="M131" s="539"/>
    </row>
    <row r="132" spans="1:13" x14ac:dyDescent="0.2">
      <c r="A132" s="551">
        <v>5480</v>
      </c>
      <c r="B132" s="540" t="s">
        <v>551</v>
      </c>
      <c r="C132" s="536">
        <f>68522.52-C133</f>
        <v>31988.520000000004</v>
      </c>
      <c r="D132" s="536">
        <v>20804.080000000002</v>
      </c>
      <c r="E132" s="536">
        <v>25094.28</v>
      </c>
      <c r="H132" s="543">
        <f t="shared" si="17"/>
        <v>26000</v>
      </c>
      <c r="I132" s="568">
        <f t="shared" si="18"/>
        <v>26000</v>
      </c>
      <c r="J132" s="539">
        <f t="shared" si="11"/>
        <v>0</v>
      </c>
      <c r="K132" s="545" t="str">
        <f t="shared" si="12"/>
        <v/>
      </c>
      <c r="L132" s="538"/>
      <c r="M132" s="539"/>
    </row>
    <row r="133" spans="1:13" x14ac:dyDescent="0.2">
      <c r="A133" s="551">
        <v>5481</v>
      </c>
      <c r="B133" s="540" t="s">
        <v>165</v>
      </c>
      <c r="C133" s="536">
        <v>36534</v>
      </c>
      <c r="D133" s="536">
        <v>40525.1</v>
      </c>
      <c r="E133" s="536">
        <v>37560.18</v>
      </c>
      <c r="H133" s="543">
        <f t="shared" si="17"/>
        <v>30000</v>
      </c>
      <c r="I133" s="568">
        <f t="shared" si="18"/>
        <v>30000</v>
      </c>
      <c r="J133" s="539">
        <f t="shared" si="11"/>
        <v>0</v>
      </c>
      <c r="K133" s="545" t="str">
        <f t="shared" si="12"/>
        <v/>
      </c>
      <c r="L133" s="538"/>
      <c r="M133" s="539"/>
    </row>
    <row r="134" spans="1:13" x14ac:dyDescent="0.2">
      <c r="A134" s="551">
        <v>5501</v>
      </c>
      <c r="B134" s="540" t="s">
        <v>167</v>
      </c>
      <c r="C134" s="544"/>
      <c r="D134" s="536">
        <v>1000</v>
      </c>
      <c r="E134" s="536"/>
      <c r="H134" s="543">
        <f t="shared" si="17"/>
        <v>500</v>
      </c>
      <c r="I134" s="568">
        <f t="shared" si="18"/>
        <v>0</v>
      </c>
      <c r="J134" s="539">
        <f t="shared" si="11"/>
        <v>-500</v>
      </c>
      <c r="K134" s="545">
        <f t="shared" si="12"/>
        <v>-1</v>
      </c>
      <c r="L134" s="538" t="s">
        <v>1604</v>
      </c>
      <c r="M134" s="539"/>
    </row>
    <row r="135" spans="1:13" x14ac:dyDescent="0.2">
      <c r="A135" s="551">
        <v>5580</v>
      </c>
      <c r="B135" s="540" t="s">
        <v>140</v>
      </c>
      <c r="C135" s="544">
        <v>17942.53</v>
      </c>
      <c r="D135" s="544">
        <v>17659.2</v>
      </c>
      <c r="E135" s="544">
        <v>20857.36</v>
      </c>
      <c r="H135" s="543">
        <f t="shared" si="17"/>
        <v>13000</v>
      </c>
      <c r="I135" s="568">
        <f t="shared" si="18"/>
        <v>13000</v>
      </c>
      <c r="J135" s="539">
        <f t="shared" si="11"/>
        <v>0</v>
      </c>
      <c r="K135" s="545" t="str">
        <f t="shared" si="12"/>
        <v/>
      </c>
      <c r="L135" s="538"/>
      <c r="M135" s="539"/>
    </row>
    <row r="136" spans="1:13" x14ac:dyDescent="0.2">
      <c r="A136" s="551">
        <v>5581</v>
      </c>
      <c r="B136" s="540" t="s">
        <v>141</v>
      </c>
      <c r="C136" s="544">
        <v>22.95</v>
      </c>
      <c r="D136" s="544">
        <v>144.53</v>
      </c>
      <c r="E136" s="544">
        <v>40</v>
      </c>
      <c r="H136" s="543">
        <f t="shared" si="17"/>
        <v>400</v>
      </c>
      <c r="I136" s="568">
        <f t="shared" si="18"/>
        <v>400</v>
      </c>
      <c r="J136" s="539">
        <f t="shared" si="11"/>
        <v>0</v>
      </c>
      <c r="K136" s="545" t="str">
        <f t="shared" si="12"/>
        <v/>
      </c>
      <c r="L136" s="538"/>
      <c r="M136" s="539"/>
    </row>
    <row r="137" spans="1:13" x14ac:dyDescent="0.2">
      <c r="A137" s="551">
        <v>5582</v>
      </c>
      <c r="B137" s="540" t="s">
        <v>168</v>
      </c>
      <c r="C137" s="544">
        <v>13164.59</v>
      </c>
      <c r="D137" s="544">
        <v>14612.48</v>
      </c>
      <c r="E137" s="544">
        <v>13045.12</v>
      </c>
      <c r="H137" s="543">
        <f t="shared" si="17"/>
        <v>18100</v>
      </c>
      <c r="I137" s="568">
        <f t="shared" si="18"/>
        <v>18100</v>
      </c>
      <c r="J137" s="539">
        <f t="shared" si="11"/>
        <v>0</v>
      </c>
      <c r="K137" s="545" t="str">
        <f t="shared" si="12"/>
        <v/>
      </c>
      <c r="L137" s="538"/>
      <c r="M137" s="539"/>
    </row>
    <row r="138" spans="1:13" x14ac:dyDescent="0.2">
      <c r="A138" s="551">
        <v>5585</v>
      </c>
      <c r="B138" s="540" t="s">
        <v>720</v>
      </c>
      <c r="C138" s="536"/>
      <c r="D138" s="544">
        <v>8296</v>
      </c>
      <c r="E138" s="544">
        <v>5859.25</v>
      </c>
      <c r="H138" s="543">
        <f t="shared" si="17"/>
        <v>5900</v>
      </c>
      <c r="I138" s="568">
        <f t="shared" si="18"/>
        <v>5900</v>
      </c>
      <c r="J138" s="539">
        <f t="shared" si="11"/>
        <v>0</v>
      </c>
      <c r="K138" s="545" t="str">
        <f t="shared" si="12"/>
        <v/>
      </c>
      <c r="L138" s="538"/>
      <c r="M138" s="539"/>
    </row>
    <row r="139" spans="1:13" x14ac:dyDescent="0.2">
      <c r="A139" s="551">
        <v>5710</v>
      </c>
      <c r="B139" s="540" t="s">
        <v>552</v>
      </c>
      <c r="C139" s="536">
        <v>4091</v>
      </c>
      <c r="D139" s="544">
        <v>4364.99</v>
      </c>
      <c r="E139" s="544">
        <v>2125.65</v>
      </c>
      <c r="H139" s="543">
        <f t="shared" si="17"/>
        <v>1900</v>
      </c>
      <c r="I139" s="568">
        <f t="shared" si="18"/>
        <v>1900</v>
      </c>
      <c r="J139" s="539">
        <f t="shared" si="11"/>
        <v>0</v>
      </c>
      <c r="K139" s="545" t="str">
        <f t="shared" si="12"/>
        <v/>
      </c>
      <c r="L139" s="538"/>
      <c r="M139" s="539"/>
    </row>
    <row r="140" spans="1:13" x14ac:dyDescent="0.2">
      <c r="A140" s="551">
        <v>5730</v>
      </c>
      <c r="B140" s="540" t="s">
        <v>142</v>
      </c>
      <c r="C140" s="544">
        <v>1430</v>
      </c>
      <c r="D140" s="536">
        <v>1708</v>
      </c>
      <c r="E140" s="536">
        <v>1620</v>
      </c>
      <c r="H140" s="543">
        <f t="shared" si="17"/>
        <v>2450</v>
      </c>
      <c r="I140" s="568">
        <f t="shared" si="18"/>
        <v>2450</v>
      </c>
      <c r="J140" s="539">
        <f t="shared" si="11"/>
        <v>0</v>
      </c>
      <c r="K140" s="545" t="str">
        <f t="shared" si="12"/>
        <v/>
      </c>
      <c r="L140" s="538"/>
      <c r="M140" s="539"/>
    </row>
    <row r="141" spans="1:13" ht="13.5" thickBot="1" x14ac:dyDescent="0.25">
      <c r="A141" s="551">
        <v>5740</v>
      </c>
      <c r="B141" s="540" t="s">
        <v>149</v>
      </c>
      <c r="C141" s="542">
        <v>11660</v>
      </c>
      <c r="D141" s="542">
        <v>15136</v>
      </c>
      <c r="E141" s="542">
        <v>18476</v>
      </c>
      <c r="H141" s="543">
        <f t="shared" si="17"/>
        <v>27903</v>
      </c>
      <c r="I141" s="568">
        <f t="shared" si="18"/>
        <v>27903</v>
      </c>
      <c r="J141" s="539">
        <f t="shared" si="11"/>
        <v>0</v>
      </c>
      <c r="K141" s="545" t="str">
        <f t="shared" si="12"/>
        <v/>
      </c>
      <c r="L141" s="538"/>
      <c r="M141" s="539"/>
    </row>
    <row r="142" spans="1:13" ht="13.5" thickBot="1" x14ac:dyDescent="0.25">
      <c r="A142" s="551">
        <v>5800</v>
      </c>
      <c r="B142" s="540" t="s">
        <v>604</v>
      </c>
      <c r="C142" s="542">
        <v>36895.4</v>
      </c>
      <c r="D142" s="542">
        <v>39483.5</v>
      </c>
      <c r="E142" s="542">
        <v>39102.5</v>
      </c>
      <c r="H142" s="543">
        <f>+J55</f>
        <v>51600</v>
      </c>
      <c r="I142" s="568">
        <f>+L55</f>
        <v>53000</v>
      </c>
      <c r="J142" s="539">
        <f t="shared" si="11"/>
        <v>1400</v>
      </c>
      <c r="K142" s="545">
        <f t="shared" si="12"/>
        <v>2.7099999999999999E-2</v>
      </c>
      <c r="L142" s="538"/>
      <c r="M142" s="539"/>
    </row>
    <row r="144" spans="1:13" x14ac:dyDescent="0.2">
      <c r="A144" s="4"/>
      <c r="B144" s="4" t="s">
        <v>1600</v>
      </c>
      <c r="C144" s="25"/>
      <c r="D144" s="25"/>
      <c r="E144" s="25"/>
      <c r="F144" s="25"/>
      <c r="G144" s="25"/>
      <c r="H144" s="849">
        <f>SUM(H100:H142)</f>
        <v>1702637</v>
      </c>
      <c r="I144" s="849">
        <f>SUM(I100:I142)</f>
        <v>1746619</v>
      </c>
      <c r="J144" s="208">
        <f t="shared" ref="J144" si="19">+I144-H144</f>
        <v>43982</v>
      </c>
      <c r="K144" s="850">
        <f t="shared" ref="K144" si="20">IF(H144+I144&lt;&gt;0,IF(H144&lt;&gt;0,IF(J144&lt;&gt;0,ROUND((+J144/H144),4),""),1),"")</f>
        <v>2.58E-2</v>
      </c>
    </row>
    <row r="145" spans="3:20" s="49" customFormat="1" ht="14.25" x14ac:dyDescent="0.2">
      <c r="C145" s="153"/>
      <c r="D145" s="153"/>
      <c r="E145" s="153"/>
      <c r="F145" s="153"/>
      <c r="G145" s="153"/>
      <c r="H145" s="153"/>
      <c r="I145" s="153"/>
      <c r="J145" s="153"/>
      <c r="L145" s="153"/>
      <c r="M145" s="153"/>
      <c r="N145" s="153"/>
      <c r="T145" s="760"/>
    </row>
  </sheetData>
  <phoneticPr fontId="0" type="noConversion"/>
  <hyperlinks>
    <hyperlink ref="A1" location="'Working Budget with funding det'!A1" display="Main "/>
    <hyperlink ref="B1" location="'Table of Contents'!A1" display="TOC"/>
  </hyperlinks>
  <pageMargins left="0.75" right="0.75" top="1" bottom="1" header="0.5" footer="0.5"/>
  <pageSetup scale="94" fitToHeight="5" orientation="landscape" horizontalDpi="300" verticalDpi="300" r:id="rId1"/>
  <headerFooter alignWithMargins="0">
    <oddFooter>&amp;L&amp;D     &amp;T&amp;C&amp;F&amp;R&amp;A  &amp;P</oddFooter>
  </headerFooter>
  <rowBreaks count="1" manualBreakCount="1">
    <brk id="97"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pane ySplit="7" topLeftCell="A31" activePane="bottomLeft" state="frozen"/>
      <selection activeCell="K15" sqref="K15"/>
      <selection pane="bottomLeft" activeCell="A41" sqref="A41"/>
    </sheetView>
  </sheetViews>
  <sheetFormatPr defaultRowHeight="12.75" x14ac:dyDescent="0.2"/>
  <cols>
    <col min="1" max="1" width="11.6640625" customWidth="1"/>
    <col min="2" max="2" width="35.83203125" customWidth="1"/>
    <col min="3" max="3" width="14.83203125" style="1" hidden="1" customWidth="1"/>
    <col min="4" max="7" width="14.83203125" style="121" hidden="1" customWidth="1"/>
    <col min="8" max="10" width="14.83203125" style="121" customWidth="1"/>
    <col min="11" max="11" width="14.83203125" customWidth="1"/>
    <col min="12" max="14" width="14.83203125" style="1" customWidth="1"/>
    <col min="15" max="17" width="14.83203125" customWidth="1"/>
    <col min="18" max="18" width="5.5" customWidth="1"/>
  </cols>
  <sheetData>
    <row r="1" spans="1:17" x14ac:dyDescent="0.2">
      <c r="A1" s="410" t="s">
        <v>1013</v>
      </c>
      <c r="B1" s="410" t="s">
        <v>1418</v>
      </c>
    </row>
    <row r="2" spans="1:17" ht="15" x14ac:dyDescent="0.25">
      <c r="A2" s="49" t="s">
        <v>256</v>
      </c>
      <c r="B2" s="49"/>
      <c r="E2" s="153"/>
      <c r="H2" s="153" t="s">
        <v>252</v>
      </c>
      <c r="I2" s="153"/>
      <c r="J2" s="153"/>
      <c r="K2" s="67" t="s">
        <v>435</v>
      </c>
    </row>
    <row r="3" spans="1:17" ht="13.5" thickBot="1" x14ac:dyDescent="0.25">
      <c r="A3" s="4"/>
      <c r="B3" s="4"/>
      <c r="C3" s="25"/>
      <c r="D3" s="25"/>
      <c r="E3" s="25"/>
      <c r="F3" s="25"/>
      <c r="G3" s="25"/>
      <c r="H3" s="25"/>
      <c r="I3" s="25"/>
      <c r="J3" s="25"/>
      <c r="K3" s="4"/>
      <c r="L3" s="25"/>
      <c r="M3" s="25"/>
      <c r="N3" s="4"/>
      <c r="Q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318"/>
      <c r="J5" s="318"/>
      <c r="K5" s="120" t="s">
        <v>509</v>
      </c>
      <c r="L5" s="95" t="s">
        <v>7</v>
      </c>
      <c r="M5" s="209" t="s">
        <v>783</v>
      </c>
    </row>
    <row r="6" spans="1:17" x14ac:dyDescent="0.2">
      <c r="A6" s="93"/>
      <c r="B6" s="216"/>
      <c r="C6" s="137"/>
      <c r="D6" s="137"/>
      <c r="E6" s="137"/>
      <c r="F6" s="137"/>
      <c r="G6" s="137"/>
      <c r="H6" s="137"/>
      <c r="I6" s="95"/>
      <c r="J6" s="95"/>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9" t="s">
        <v>899</v>
      </c>
      <c r="K7" s="145">
        <v>43830</v>
      </c>
      <c r="L7" s="371" t="s">
        <v>9</v>
      </c>
      <c r="M7" s="9" t="s">
        <v>541</v>
      </c>
    </row>
    <row r="8" spans="1:17" ht="13.5" thickTop="1" x14ac:dyDescent="0.2">
      <c r="A8" s="12">
        <v>5112</v>
      </c>
      <c r="B8" s="218" t="s">
        <v>684</v>
      </c>
      <c r="C8" s="140">
        <v>162036.5</v>
      </c>
      <c r="D8" s="14">
        <v>177911.22</v>
      </c>
      <c r="E8" s="14">
        <v>172306.06</v>
      </c>
      <c r="F8" s="14">
        <v>184213.02</v>
      </c>
      <c r="G8" s="14">
        <v>188880.71</v>
      </c>
      <c r="H8" s="14">
        <v>191317.08</v>
      </c>
      <c r="I8" s="14">
        <v>212220.73</v>
      </c>
      <c r="J8" s="132">
        <f>2145+213695</f>
        <v>215840</v>
      </c>
      <c r="K8" s="14">
        <v>96514.15</v>
      </c>
      <c r="L8" s="132">
        <f>ROUND((SUM(K36:K40)),0)</f>
        <v>215125</v>
      </c>
      <c r="M8" s="20"/>
    </row>
    <row r="9" spans="1:17" x14ac:dyDescent="0.2">
      <c r="A9" s="12">
        <v>5114</v>
      </c>
      <c r="B9" s="69" t="s">
        <v>685</v>
      </c>
      <c r="C9" s="140">
        <v>1658.24</v>
      </c>
      <c r="D9" s="14">
        <v>4438.01</v>
      </c>
      <c r="E9" s="14">
        <v>4948.5200000000004</v>
      </c>
      <c r="F9" s="14">
        <v>2984</v>
      </c>
      <c r="G9" s="14">
        <v>18353.25</v>
      </c>
      <c r="H9" s="14">
        <v>28209.75</v>
      </c>
      <c r="I9" s="14">
        <v>22377.5</v>
      </c>
      <c r="J9" s="15">
        <v>23000</v>
      </c>
      <c r="K9" s="14">
        <v>16732.5</v>
      </c>
      <c r="L9" s="15">
        <v>23000</v>
      </c>
      <c r="M9" s="15"/>
    </row>
    <row r="10" spans="1:17" x14ac:dyDescent="0.2">
      <c r="A10" s="12">
        <v>5132</v>
      </c>
      <c r="B10" s="69" t="s">
        <v>156</v>
      </c>
      <c r="C10" s="140">
        <v>41720.449999999997</v>
      </c>
      <c r="D10" s="14">
        <v>42947.98</v>
      </c>
      <c r="E10" s="14">
        <v>61676.62</v>
      </c>
      <c r="F10" s="14">
        <v>45731.57</v>
      </c>
      <c r="G10" s="14">
        <v>33275.79</v>
      </c>
      <c r="H10" s="14">
        <v>51173.09</v>
      </c>
      <c r="I10" s="14">
        <v>35035.449999999997</v>
      </c>
      <c r="J10" s="15">
        <f>525+35000</f>
        <v>35525</v>
      </c>
      <c r="K10" s="14">
        <v>24327.94</v>
      </c>
      <c r="L10" s="15">
        <v>35525</v>
      </c>
      <c r="M10" s="15"/>
      <c r="O10" s="271"/>
    </row>
    <row r="11" spans="1:17" x14ac:dyDescent="0.2">
      <c r="A11" s="12">
        <v>5142</v>
      </c>
      <c r="B11" s="69" t="s">
        <v>159</v>
      </c>
      <c r="C11" s="140">
        <v>2549.08</v>
      </c>
      <c r="D11" s="14">
        <v>2494.06</v>
      </c>
      <c r="E11" s="14">
        <v>2480.2600000000002</v>
      </c>
      <c r="F11" s="14">
        <v>2517.29</v>
      </c>
      <c r="G11" s="14">
        <v>2498.44</v>
      </c>
      <c r="H11" s="14">
        <v>2503.4499999999998</v>
      </c>
      <c r="I11" s="14">
        <v>2513.67</v>
      </c>
      <c r="J11" s="15">
        <f>1022+2600</f>
        <v>3622</v>
      </c>
      <c r="K11" s="14">
        <v>1538.4</v>
      </c>
      <c r="L11" s="15">
        <v>3622</v>
      </c>
      <c r="M11" s="15"/>
    </row>
    <row r="12" spans="1:17" x14ac:dyDescent="0.2">
      <c r="A12" s="12">
        <v>5143</v>
      </c>
      <c r="B12" s="69" t="s">
        <v>160</v>
      </c>
      <c r="C12" s="140">
        <v>7301.66</v>
      </c>
      <c r="D12" s="14">
        <v>8317.19</v>
      </c>
      <c r="E12" s="14">
        <v>8418.2999999999993</v>
      </c>
      <c r="F12" s="14">
        <v>9545.08</v>
      </c>
      <c r="G12" s="14">
        <v>9298.68</v>
      </c>
      <c r="H12" s="14">
        <v>8980.2800000000007</v>
      </c>
      <c r="I12" s="14">
        <v>10419.469999999999</v>
      </c>
      <c r="J12" s="15">
        <f>3352+9600</f>
        <v>12952</v>
      </c>
      <c r="K12" s="14">
        <v>3977.04</v>
      </c>
      <c r="L12" s="15">
        <v>12952</v>
      </c>
      <c r="M12" s="15"/>
    </row>
    <row r="13" spans="1:17" x14ac:dyDescent="0.2">
      <c r="A13" s="12">
        <v>5144</v>
      </c>
      <c r="B13" s="69" t="s">
        <v>152</v>
      </c>
      <c r="C13" s="263"/>
      <c r="D13" s="39">
        <v>0</v>
      </c>
      <c r="E13" s="39"/>
      <c r="F13" s="39">
        <v>150</v>
      </c>
      <c r="G13" s="39">
        <v>1000</v>
      </c>
      <c r="H13" s="39">
        <v>1300</v>
      </c>
      <c r="I13" s="39">
        <v>1300</v>
      </c>
      <c r="J13" s="135">
        <v>1300</v>
      </c>
      <c r="K13" s="14">
        <v>800</v>
      </c>
      <c r="L13" s="135">
        <v>1300</v>
      </c>
      <c r="M13" s="135"/>
    </row>
    <row r="14" spans="1:17" x14ac:dyDescent="0.2">
      <c r="A14" s="12">
        <v>5145</v>
      </c>
      <c r="B14" s="69" t="s">
        <v>714</v>
      </c>
      <c r="C14" s="263">
        <v>230.8</v>
      </c>
      <c r="D14" s="39">
        <v>300.04000000000002</v>
      </c>
      <c r="E14" s="39">
        <v>300.04000000000002</v>
      </c>
      <c r="F14" s="39">
        <v>305.81</v>
      </c>
      <c r="G14" s="39">
        <v>300.04000000000002</v>
      </c>
      <c r="H14" s="39">
        <v>300.04000000000002</v>
      </c>
      <c r="I14" s="39">
        <v>300.04000000000002</v>
      </c>
      <c r="J14" s="40">
        <v>300</v>
      </c>
      <c r="K14" s="14">
        <v>144.25</v>
      </c>
      <c r="L14" s="40">
        <v>300</v>
      </c>
      <c r="M14" s="40"/>
    </row>
    <row r="15" spans="1:17" x14ac:dyDescent="0.2">
      <c r="A15" s="12">
        <v>5146</v>
      </c>
      <c r="B15" s="69" t="s">
        <v>79</v>
      </c>
      <c r="C15" s="263">
        <v>2172.0100000000002</v>
      </c>
      <c r="D15" s="39">
        <v>4324.59</v>
      </c>
      <c r="E15" s="39">
        <v>6508.59</v>
      </c>
      <c r="F15" s="39">
        <v>9039.4</v>
      </c>
      <c r="G15" s="39">
        <v>8737</v>
      </c>
      <c r="H15" s="39">
        <v>8626</v>
      </c>
      <c r="I15" s="39">
        <v>8706</v>
      </c>
      <c r="J15" s="40">
        <v>8760</v>
      </c>
      <c r="K15" s="14">
        <v>4184</v>
      </c>
      <c r="L15" s="40">
        <v>8760</v>
      </c>
      <c r="M15" s="40"/>
      <c r="O15" s="271"/>
    </row>
    <row r="16" spans="1:17" x14ac:dyDescent="0.2">
      <c r="A16" s="12">
        <v>5193</v>
      </c>
      <c r="B16" s="69" t="s">
        <v>800</v>
      </c>
      <c r="C16" s="263"/>
      <c r="D16" s="39">
        <v>1648.06</v>
      </c>
      <c r="E16" s="39"/>
      <c r="F16" s="39"/>
      <c r="G16" s="39"/>
      <c r="H16" s="39"/>
      <c r="I16" s="39"/>
      <c r="J16" s="40"/>
      <c r="K16" s="14">
        <v>948.04</v>
      </c>
      <c r="L16" s="40"/>
      <c r="M16" s="40"/>
      <c r="O16" s="271"/>
    </row>
    <row r="17" spans="1:17" hidden="1" x14ac:dyDescent="0.2">
      <c r="A17" s="12">
        <v>5194</v>
      </c>
      <c r="B17" s="69" t="s">
        <v>801</v>
      </c>
      <c r="C17" s="263"/>
      <c r="D17" s="39">
        <v>1609.12</v>
      </c>
      <c r="E17" s="39"/>
      <c r="F17" s="39"/>
      <c r="G17" s="39"/>
      <c r="H17" s="39"/>
      <c r="I17" s="39"/>
      <c r="J17" s="40"/>
      <c r="K17" s="14"/>
      <c r="L17" s="40"/>
      <c r="M17" s="40"/>
      <c r="O17" s="271"/>
    </row>
    <row r="18" spans="1:17" ht="13.5" thickBot="1" x14ac:dyDescent="0.25">
      <c r="A18" s="12">
        <v>5195</v>
      </c>
      <c r="B18" s="69" t="s">
        <v>161</v>
      </c>
      <c r="C18" s="263">
        <v>850.14</v>
      </c>
      <c r="D18" s="39">
        <v>631.98</v>
      </c>
      <c r="E18" s="39">
        <v>1038.2</v>
      </c>
      <c r="F18" s="39">
        <v>1465.07</v>
      </c>
      <c r="G18" s="39">
        <v>924.2</v>
      </c>
      <c r="H18" s="39">
        <v>588.15</v>
      </c>
      <c r="I18" s="39">
        <v>2471.3200000000002</v>
      </c>
      <c r="J18" s="40">
        <v>3000</v>
      </c>
      <c r="K18" s="14">
        <v>558.4</v>
      </c>
      <c r="L18" s="40">
        <v>3000</v>
      </c>
      <c r="M18" s="40"/>
      <c r="O18" s="271"/>
    </row>
    <row r="19" spans="1:17" x14ac:dyDescent="0.2">
      <c r="A19" s="12"/>
      <c r="B19" s="18" t="s">
        <v>125</v>
      </c>
      <c r="C19" s="34">
        <f t="shared" ref="C19:K19" si="0">SUM(C8:C18)</f>
        <v>218518.88</v>
      </c>
      <c r="D19" s="34">
        <f t="shared" si="0"/>
        <v>244622.25000000003</v>
      </c>
      <c r="E19" s="34">
        <f t="shared" si="0"/>
        <v>257676.59</v>
      </c>
      <c r="F19" s="34">
        <f>SUM(F8:F18)</f>
        <v>255951.24</v>
      </c>
      <c r="G19" s="34">
        <f>SUM(G8:G18)</f>
        <v>263268.11000000004</v>
      </c>
      <c r="H19" s="34">
        <f>SUM(H8:H18)</f>
        <v>292997.84000000003</v>
      </c>
      <c r="I19" s="34">
        <f t="shared" si="0"/>
        <v>295344.17999999993</v>
      </c>
      <c r="J19" s="35">
        <f>SUM(J8:J18)</f>
        <v>304299</v>
      </c>
      <c r="K19" s="34">
        <f t="shared" si="0"/>
        <v>149724.72</v>
      </c>
      <c r="L19" s="35">
        <f>SUM(L8:L18)</f>
        <v>303584</v>
      </c>
      <c r="M19" s="324">
        <f>SUM(M8:M18)</f>
        <v>0</v>
      </c>
    </row>
    <row r="20" spans="1:17" x14ac:dyDescent="0.2">
      <c r="A20" s="12"/>
      <c r="B20" s="18"/>
      <c r="C20" s="19"/>
      <c r="D20" s="19"/>
      <c r="E20" s="19"/>
      <c r="F20" s="19"/>
      <c r="G20" s="19"/>
      <c r="H20" s="19"/>
      <c r="I20" s="19"/>
      <c r="J20" s="20"/>
      <c r="K20" s="19"/>
      <c r="L20" s="20"/>
      <c r="M20" s="134"/>
    </row>
    <row r="21" spans="1:17" x14ac:dyDescent="0.2">
      <c r="A21" s="12">
        <v>5310</v>
      </c>
      <c r="B21" s="13" t="s">
        <v>869</v>
      </c>
      <c r="C21" s="19"/>
      <c r="D21" s="19"/>
      <c r="E21" s="19">
        <v>1916.6</v>
      </c>
      <c r="F21" s="19">
        <v>3000</v>
      </c>
      <c r="G21" s="19">
        <v>3000</v>
      </c>
      <c r="H21" s="19">
        <v>3000</v>
      </c>
      <c r="I21" s="19">
        <v>3000</v>
      </c>
      <c r="J21" s="20">
        <v>3000</v>
      </c>
      <c r="K21" s="19">
        <v>3000</v>
      </c>
      <c r="L21" s="20">
        <v>3000</v>
      </c>
      <c r="M21" s="20"/>
    </row>
    <row r="22" spans="1:17" x14ac:dyDescent="0.2">
      <c r="A22" s="12">
        <v>5314</v>
      </c>
      <c r="B22" s="13" t="s">
        <v>134</v>
      </c>
      <c r="C22" s="19">
        <v>338</v>
      </c>
      <c r="D22" s="19">
        <v>726.4</v>
      </c>
      <c r="E22" s="19">
        <v>554</v>
      </c>
      <c r="F22" s="19">
        <v>1043</v>
      </c>
      <c r="G22" s="19">
        <v>1401</v>
      </c>
      <c r="H22" s="19">
        <v>449.99</v>
      </c>
      <c r="I22" s="19">
        <v>0</v>
      </c>
      <c r="J22" s="20">
        <v>3000</v>
      </c>
      <c r="K22" s="19">
        <v>249</v>
      </c>
      <c r="L22" s="20">
        <v>3000</v>
      </c>
      <c r="M22" s="20"/>
      <c r="O22" s="271"/>
    </row>
    <row r="23" spans="1:17" ht="13.5" thickBot="1" x14ac:dyDescent="0.25">
      <c r="A23" s="12">
        <v>5710</v>
      </c>
      <c r="B23" s="13" t="s">
        <v>529</v>
      </c>
      <c r="C23" s="16">
        <v>973.49</v>
      </c>
      <c r="D23" s="16">
        <v>1718.11</v>
      </c>
      <c r="E23" s="16">
        <v>868.43</v>
      </c>
      <c r="F23" s="16">
        <v>1101.28</v>
      </c>
      <c r="G23" s="16">
        <v>592.77</v>
      </c>
      <c r="H23" s="16">
        <v>812.24</v>
      </c>
      <c r="I23" s="16">
        <v>1364.58</v>
      </c>
      <c r="J23" s="17">
        <v>2000</v>
      </c>
      <c r="K23" s="16">
        <v>868.12</v>
      </c>
      <c r="L23" s="17">
        <v>2000</v>
      </c>
      <c r="M23" s="17"/>
      <c r="O23" s="271"/>
    </row>
    <row r="24" spans="1:17" x14ac:dyDescent="0.2">
      <c r="A24" s="12"/>
      <c r="B24" s="18" t="s">
        <v>442</v>
      </c>
      <c r="C24" s="19">
        <f t="shared" ref="C24:K24" si="1">SUM(C21:C23)</f>
        <v>1311.49</v>
      </c>
      <c r="D24" s="19">
        <f t="shared" si="1"/>
        <v>2444.5099999999998</v>
      </c>
      <c r="E24" s="19">
        <f t="shared" si="1"/>
        <v>3339.0299999999997</v>
      </c>
      <c r="F24" s="19">
        <f>SUM(F21:F23)</f>
        <v>5144.28</v>
      </c>
      <c r="G24" s="19">
        <f>SUM(G21:G23)</f>
        <v>4993.7700000000004</v>
      </c>
      <c r="H24" s="19">
        <f>SUM(H21:H23)</f>
        <v>4262.2299999999996</v>
      </c>
      <c r="I24" s="19">
        <f t="shared" si="1"/>
        <v>4364.58</v>
      </c>
      <c r="J24" s="262">
        <f>SUM(J21:J23)</f>
        <v>8000</v>
      </c>
      <c r="K24" s="38">
        <f t="shared" si="1"/>
        <v>4117.12</v>
      </c>
      <c r="L24" s="262">
        <f>SUM(L21:L23)</f>
        <v>8000</v>
      </c>
      <c r="M24" s="262">
        <f>SUM(M21:M23)</f>
        <v>0</v>
      </c>
    </row>
    <row r="25" spans="1:17" x14ac:dyDescent="0.2">
      <c r="A25" s="12"/>
      <c r="B25" s="18"/>
      <c r="C25" s="19"/>
      <c r="D25" s="19"/>
      <c r="E25" s="19"/>
      <c r="F25" s="19"/>
      <c r="G25" s="19"/>
      <c r="H25" s="19"/>
      <c r="I25" s="19"/>
      <c r="J25" s="134"/>
      <c r="K25" s="19"/>
      <c r="L25" s="134"/>
      <c r="M25" s="134"/>
    </row>
    <row r="26" spans="1:17" ht="13.5" thickBot="1" x14ac:dyDescent="0.25">
      <c r="A26" s="21"/>
      <c r="B26" s="22" t="s">
        <v>436</v>
      </c>
      <c r="C26" s="23">
        <f t="shared" ref="C26:L26" si="2">+C24+C19</f>
        <v>219830.37</v>
      </c>
      <c r="D26" s="23">
        <f t="shared" si="2"/>
        <v>247066.76000000004</v>
      </c>
      <c r="E26" s="23">
        <f t="shared" si="2"/>
        <v>261015.62</v>
      </c>
      <c r="F26" s="23">
        <f t="shared" si="2"/>
        <v>261095.52</v>
      </c>
      <c r="G26" s="23">
        <f t="shared" si="2"/>
        <v>268261.88000000006</v>
      </c>
      <c r="H26" s="23">
        <f t="shared" si="2"/>
        <v>297260.07</v>
      </c>
      <c r="I26" s="23">
        <f t="shared" si="2"/>
        <v>299708.75999999995</v>
      </c>
      <c r="J26" s="372">
        <f t="shared" ref="J26" si="3">+J24+J19</f>
        <v>312299</v>
      </c>
      <c r="K26" s="23">
        <f t="shared" si="2"/>
        <v>153841.84</v>
      </c>
      <c r="L26" s="372">
        <f t="shared" si="2"/>
        <v>311584</v>
      </c>
      <c r="M26" s="372">
        <f>+L26</f>
        <v>311584</v>
      </c>
    </row>
    <row r="27" spans="1:17" ht="13.5" thickTop="1" x14ac:dyDescent="0.2">
      <c r="A27" s="4"/>
      <c r="B27" s="4"/>
      <c r="C27" s="25"/>
      <c r="D27" s="25"/>
      <c r="E27" s="25"/>
      <c r="F27" s="25"/>
      <c r="G27" s="25"/>
      <c r="H27" s="25"/>
      <c r="I27" s="25"/>
      <c r="J27" s="25"/>
      <c r="K27" s="29"/>
      <c r="L27" s="84"/>
      <c r="M27" s="84"/>
      <c r="N27" s="25"/>
      <c r="O27" s="84"/>
      <c r="P27" s="29"/>
      <c r="Q27" s="29"/>
    </row>
    <row r="28" spans="1:17" x14ac:dyDescent="0.2">
      <c r="A28" s="758">
        <v>43480</v>
      </c>
      <c r="B28" s="4" t="s">
        <v>1294</v>
      </c>
      <c r="C28" s="25"/>
      <c r="D28" s="25"/>
      <c r="E28" s="25"/>
      <c r="F28" s="25"/>
      <c r="G28" s="25"/>
      <c r="H28" s="25"/>
      <c r="I28" s="25"/>
      <c r="J28" s="25"/>
      <c r="K28" s="212"/>
      <c r="L28" s="227"/>
      <c r="M28" s="227"/>
      <c r="N28" s="227"/>
      <c r="O28" s="29"/>
      <c r="P28" s="29"/>
      <c r="Q28" s="29"/>
    </row>
    <row r="29" spans="1:17" x14ac:dyDescent="0.2">
      <c r="A29" s="758">
        <v>43521</v>
      </c>
      <c r="B29" s="4" t="s">
        <v>1308</v>
      </c>
      <c r="C29" s="25"/>
      <c r="D29" s="25"/>
      <c r="E29" s="25"/>
      <c r="F29" s="25"/>
      <c r="G29" s="25"/>
      <c r="H29" s="25"/>
      <c r="I29" s="25"/>
      <c r="J29" s="25"/>
      <c r="K29" s="212"/>
      <c r="L29" s="227"/>
      <c r="M29" s="227"/>
      <c r="N29" s="227"/>
      <c r="O29" s="29"/>
      <c r="P29" s="29"/>
      <c r="Q29" s="29"/>
    </row>
    <row r="30" spans="1:17" x14ac:dyDescent="0.2">
      <c r="A30" s="57"/>
      <c r="C30" s="112"/>
      <c r="D30" s="112"/>
      <c r="E30" s="112"/>
      <c r="F30" s="112"/>
      <c r="G30" s="112"/>
      <c r="H30" s="112"/>
      <c r="I30" s="112"/>
      <c r="J30" s="112"/>
      <c r="K30" s="398"/>
      <c r="L30" s="399"/>
      <c r="M30" s="399"/>
      <c r="N30" s="399"/>
      <c r="O30" s="29"/>
      <c r="P30" s="29"/>
      <c r="Q30" s="29"/>
    </row>
    <row r="31" spans="1:17" x14ac:dyDescent="0.2">
      <c r="A31" s="4" t="s">
        <v>521</v>
      </c>
      <c r="B31" s="4"/>
    </row>
    <row r="32" spans="1:17" ht="13.5" thickBot="1" x14ac:dyDescent="0.25">
      <c r="A32" s="4"/>
      <c r="B32" s="4"/>
    </row>
    <row r="33" spans="1:14" ht="13.5" thickTop="1" x14ac:dyDescent="0.2">
      <c r="A33" s="162" t="s">
        <v>883</v>
      </c>
      <c r="B33" s="114"/>
      <c r="H33" s="346" t="s">
        <v>84</v>
      </c>
      <c r="I33" s="169" t="s">
        <v>574</v>
      </c>
      <c r="J33" s="170" t="s">
        <v>576</v>
      </c>
      <c r="K33" s="171" t="s">
        <v>578</v>
      </c>
      <c r="L33"/>
      <c r="M33" s="220" t="s">
        <v>336</v>
      </c>
      <c r="N33"/>
    </row>
    <row r="34" spans="1:14" ht="13.5" thickBot="1" x14ac:dyDescent="0.25">
      <c r="A34" s="392" t="s">
        <v>884</v>
      </c>
      <c r="B34" s="116" t="s">
        <v>522</v>
      </c>
      <c r="H34" s="347"/>
      <c r="I34" s="172" t="s">
        <v>575</v>
      </c>
      <c r="J34" s="173" t="s">
        <v>573</v>
      </c>
      <c r="K34" s="173" t="s">
        <v>101</v>
      </c>
      <c r="L34" s="246" t="s">
        <v>335</v>
      </c>
      <c r="M34" s="246" t="s">
        <v>900</v>
      </c>
      <c r="N34" s="246" t="s">
        <v>337</v>
      </c>
    </row>
    <row r="35" spans="1:14" ht="13.5" thickTop="1" x14ac:dyDescent="0.2">
      <c r="A35" s="217"/>
      <c r="B35" s="218" t="s">
        <v>32</v>
      </c>
      <c r="H35" s="354"/>
      <c r="I35" s="107"/>
      <c r="J35" s="219"/>
      <c r="K35" s="219"/>
      <c r="L35"/>
      <c r="M35"/>
      <c r="N35"/>
    </row>
    <row r="36" spans="1:14" x14ac:dyDescent="0.2">
      <c r="A36" s="248">
        <v>38544</v>
      </c>
      <c r="B36" s="117" t="s">
        <v>629</v>
      </c>
      <c r="H36" s="19" t="s">
        <v>1336</v>
      </c>
      <c r="I36" s="19">
        <f>+'NAGE &amp; Non-Union Wages'!J8</f>
        <v>26.81</v>
      </c>
      <c r="J36" s="20">
        <v>2088</v>
      </c>
      <c r="K36" s="168">
        <f t="shared" ref="K36:K41" si="4">ROUND((+I36*J36),2)</f>
        <v>55979.28</v>
      </c>
      <c r="L36" s="248">
        <v>38544</v>
      </c>
      <c r="M36" s="249">
        <v>15</v>
      </c>
      <c r="N36">
        <v>800</v>
      </c>
    </row>
    <row r="37" spans="1:14" x14ac:dyDescent="0.2">
      <c r="A37" s="224" t="s">
        <v>339</v>
      </c>
      <c r="B37" s="69" t="s">
        <v>1691</v>
      </c>
      <c r="H37" s="14" t="s">
        <v>790</v>
      </c>
      <c r="I37" s="167">
        <f>+'NAGE &amp; Non-Union Wages'!K5</f>
        <v>21.6</v>
      </c>
      <c r="J37" s="15">
        <v>1975</v>
      </c>
      <c r="K37" s="168">
        <f t="shared" si="4"/>
        <v>42660</v>
      </c>
      <c r="L37" s="224" t="s">
        <v>339</v>
      </c>
      <c r="M37" s="395" t="s">
        <v>1355</v>
      </c>
      <c r="N37">
        <v>500</v>
      </c>
    </row>
    <row r="38" spans="1:14" x14ac:dyDescent="0.2">
      <c r="A38" s="395" t="s">
        <v>1706</v>
      </c>
      <c r="B38" s="69" t="s">
        <v>1691</v>
      </c>
      <c r="H38" s="14" t="s">
        <v>1343</v>
      </c>
      <c r="I38" s="167">
        <f>+'NAGE &amp; Non-Union Wages'!F5</f>
        <v>19.37</v>
      </c>
      <c r="J38" s="15">
        <v>1975</v>
      </c>
      <c r="K38" s="168">
        <f t="shared" si="4"/>
        <v>38255.75</v>
      </c>
      <c r="L38" s="395"/>
      <c r="M38" s="395"/>
      <c r="N38"/>
    </row>
    <row r="39" spans="1:14" x14ac:dyDescent="0.2">
      <c r="A39" s="395" t="s">
        <v>1008</v>
      </c>
      <c r="B39" s="69" t="s">
        <v>1691</v>
      </c>
      <c r="H39" s="14" t="s">
        <v>1226</v>
      </c>
      <c r="I39" s="167">
        <f>+'NAGE &amp; Non-Union Wages'!J5</f>
        <v>21.18</v>
      </c>
      <c r="J39" s="15">
        <v>1975</v>
      </c>
      <c r="K39" s="168">
        <f t="shared" si="4"/>
        <v>41830.5</v>
      </c>
      <c r="L39" s="395" t="s">
        <v>1008</v>
      </c>
      <c r="M39" s="395" t="s">
        <v>1356</v>
      </c>
      <c r="N39"/>
    </row>
    <row r="40" spans="1:14" x14ac:dyDescent="0.2">
      <c r="A40" s="395" t="s">
        <v>1707</v>
      </c>
      <c r="B40" s="69" t="s">
        <v>1691</v>
      </c>
      <c r="H40" s="156" t="s">
        <v>1605</v>
      </c>
      <c r="I40" s="156">
        <f>+'NAGE &amp; Non-Union Wages'!D5</f>
        <v>18.43</v>
      </c>
      <c r="J40" s="132">
        <v>1975</v>
      </c>
      <c r="K40" s="168">
        <f t="shared" si="4"/>
        <v>36399.25</v>
      </c>
      <c r="L40" s="224"/>
      <c r="M40" s="395"/>
      <c r="N40"/>
    </row>
    <row r="41" spans="1:14" x14ac:dyDescent="0.2">
      <c r="A41" s="223"/>
      <c r="B41" s="69"/>
      <c r="H41" s="166"/>
      <c r="I41" s="167"/>
      <c r="J41" s="184"/>
      <c r="K41" s="168">
        <f t="shared" si="4"/>
        <v>0</v>
      </c>
      <c r="L41"/>
      <c r="M41"/>
    </row>
    <row r="42" spans="1:14" x14ac:dyDescent="0.2">
      <c r="C42" s="121"/>
    </row>
    <row r="43" spans="1:14" ht="13.5" thickBot="1" x14ac:dyDescent="0.25">
      <c r="C43" s="121"/>
    </row>
    <row r="44" spans="1:14" ht="13.5" thickTop="1" x14ac:dyDescent="0.2">
      <c r="A44" s="517"/>
      <c r="B44" s="518"/>
      <c r="C44" s="519" t="s">
        <v>122</v>
      </c>
      <c r="D44" s="520" t="s">
        <v>122</v>
      </c>
      <c r="E44" s="520" t="s">
        <v>122</v>
      </c>
      <c r="H44" s="521" t="s">
        <v>542</v>
      </c>
      <c r="I44" s="522" t="s">
        <v>9</v>
      </c>
      <c r="J44" s="523" t="s">
        <v>1073</v>
      </c>
      <c r="K44" s="522" t="s">
        <v>682</v>
      </c>
      <c r="L44" s="524"/>
      <c r="M44" s="523"/>
    </row>
    <row r="45" spans="1:14" ht="13.5" thickBot="1" x14ac:dyDescent="0.25">
      <c r="A45" s="525" t="s">
        <v>123</v>
      </c>
      <c r="B45" s="526"/>
      <c r="C45" s="527" t="s">
        <v>334</v>
      </c>
      <c r="D45" s="527" t="s">
        <v>718</v>
      </c>
      <c r="E45" s="528" t="s">
        <v>734</v>
      </c>
      <c r="H45" s="529" t="s">
        <v>899</v>
      </c>
      <c r="I45" s="529" t="s">
        <v>900</v>
      </c>
      <c r="J45" s="528" t="s">
        <v>1075</v>
      </c>
      <c r="K45" s="530" t="s">
        <v>1075</v>
      </c>
      <c r="L45" s="531" t="s">
        <v>1074</v>
      </c>
      <c r="M45" s="529"/>
    </row>
    <row r="46" spans="1:14" ht="13.5" thickTop="1" x14ac:dyDescent="0.2">
      <c r="A46" s="551">
        <v>5112</v>
      </c>
      <c r="B46" s="540" t="s">
        <v>684</v>
      </c>
      <c r="C46" s="544">
        <v>162036.5</v>
      </c>
      <c r="D46" s="544">
        <v>177911.22</v>
      </c>
      <c r="E46" s="544">
        <v>172306.06</v>
      </c>
      <c r="H46" s="543">
        <f>+J8</f>
        <v>215840</v>
      </c>
      <c r="I46" s="569">
        <f t="shared" ref="I46:I56" si="5">+L8</f>
        <v>215125</v>
      </c>
      <c r="J46" s="539">
        <f t="shared" ref="J46:J59" si="6">+I46-H46</f>
        <v>-715</v>
      </c>
      <c r="K46" s="545">
        <f t="shared" ref="K46:K59" si="7">IF(H46+I46&lt;&gt;0,IF(H46&lt;&gt;0,IF(J46&lt;&gt;0,ROUND((+J46/H46),4),""),1),"")</f>
        <v>-3.3E-3</v>
      </c>
      <c r="L46" s="538" t="s">
        <v>1610</v>
      </c>
      <c r="M46" s="539"/>
    </row>
    <row r="47" spans="1:14" x14ac:dyDescent="0.2">
      <c r="A47" s="551">
        <v>5114</v>
      </c>
      <c r="B47" s="540" t="s">
        <v>685</v>
      </c>
      <c r="C47" s="544">
        <v>1658.24</v>
      </c>
      <c r="D47" s="544">
        <v>4438.01</v>
      </c>
      <c r="E47" s="544">
        <v>4948.5200000000004</v>
      </c>
      <c r="H47" s="543">
        <f t="shared" ref="H47:H55" si="8">+J9</f>
        <v>23000</v>
      </c>
      <c r="I47" s="569">
        <f t="shared" si="5"/>
        <v>23000</v>
      </c>
      <c r="J47" s="539">
        <f t="shared" si="6"/>
        <v>0</v>
      </c>
      <c r="K47" s="545" t="str">
        <f t="shared" si="7"/>
        <v/>
      </c>
      <c r="L47" s="538" t="s">
        <v>1611</v>
      </c>
      <c r="M47" s="539"/>
    </row>
    <row r="48" spans="1:14" x14ac:dyDescent="0.2">
      <c r="A48" s="551">
        <v>5132</v>
      </c>
      <c r="B48" s="540" t="s">
        <v>156</v>
      </c>
      <c r="C48" s="544">
        <v>41720.449999999997</v>
      </c>
      <c r="D48" s="544">
        <v>42947.98</v>
      </c>
      <c r="E48" s="544">
        <v>61676.62</v>
      </c>
      <c r="H48" s="543">
        <f t="shared" si="8"/>
        <v>35525</v>
      </c>
      <c r="I48" s="569">
        <f t="shared" si="5"/>
        <v>35525</v>
      </c>
      <c r="J48" s="539">
        <f t="shared" si="6"/>
        <v>0</v>
      </c>
      <c r="K48" s="545" t="str">
        <f t="shared" si="7"/>
        <v/>
      </c>
      <c r="L48" s="538"/>
      <c r="M48" s="539"/>
    </row>
    <row r="49" spans="1:14" x14ac:dyDescent="0.2">
      <c r="A49" s="551">
        <v>5142</v>
      </c>
      <c r="B49" s="540" t="s">
        <v>159</v>
      </c>
      <c r="C49" s="544">
        <v>2549.08</v>
      </c>
      <c r="D49" s="544">
        <v>2494.06</v>
      </c>
      <c r="E49" s="544">
        <v>2480.2600000000002</v>
      </c>
      <c r="H49" s="543">
        <f t="shared" si="8"/>
        <v>3622</v>
      </c>
      <c r="I49" s="569">
        <f t="shared" si="5"/>
        <v>3622</v>
      </c>
      <c r="J49" s="539">
        <f t="shared" si="6"/>
        <v>0</v>
      </c>
      <c r="K49" s="545" t="str">
        <f t="shared" si="7"/>
        <v/>
      </c>
      <c r="L49" s="538"/>
      <c r="M49" s="539"/>
    </row>
    <row r="50" spans="1:14" x14ac:dyDescent="0.2">
      <c r="A50" s="551">
        <v>5143</v>
      </c>
      <c r="B50" s="540" t="s">
        <v>160</v>
      </c>
      <c r="C50" s="544">
        <v>7301.66</v>
      </c>
      <c r="D50" s="544">
        <v>8317.19</v>
      </c>
      <c r="E50" s="544">
        <v>8418.2999999999993</v>
      </c>
      <c r="H50" s="543">
        <f t="shared" si="8"/>
        <v>12952</v>
      </c>
      <c r="I50" s="569">
        <f t="shared" si="5"/>
        <v>12952</v>
      </c>
      <c r="J50" s="539">
        <f t="shared" si="6"/>
        <v>0</v>
      </c>
      <c r="K50" s="545" t="str">
        <f t="shared" si="7"/>
        <v/>
      </c>
      <c r="L50" s="538"/>
      <c r="M50" s="539"/>
    </row>
    <row r="51" spans="1:14" x14ac:dyDescent="0.2">
      <c r="A51" s="551">
        <v>5144</v>
      </c>
      <c r="B51" s="540" t="s">
        <v>152</v>
      </c>
      <c r="C51" s="546"/>
      <c r="D51" s="546">
        <v>0</v>
      </c>
      <c r="E51" s="546"/>
      <c r="H51" s="543">
        <f t="shared" si="8"/>
        <v>1300</v>
      </c>
      <c r="I51" s="569">
        <f t="shared" si="5"/>
        <v>1300</v>
      </c>
      <c r="J51" s="539">
        <f t="shared" si="6"/>
        <v>0</v>
      </c>
      <c r="K51" s="545" t="str">
        <f t="shared" si="7"/>
        <v/>
      </c>
      <c r="L51" s="538"/>
      <c r="M51" s="539"/>
    </row>
    <row r="52" spans="1:14" x14ac:dyDescent="0.2">
      <c r="A52" s="551">
        <v>5145</v>
      </c>
      <c r="B52" s="540" t="s">
        <v>714</v>
      </c>
      <c r="C52" s="546">
        <v>230.8</v>
      </c>
      <c r="D52" s="546">
        <v>300.04000000000002</v>
      </c>
      <c r="E52" s="546">
        <v>300.04000000000002</v>
      </c>
      <c r="H52" s="543">
        <f t="shared" si="8"/>
        <v>300</v>
      </c>
      <c r="I52" s="569">
        <f t="shared" si="5"/>
        <v>300</v>
      </c>
      <c r="J52" s="539">
        <f t="shared" si="6"/>
        <v>0</v>
      </c>
      <c r="K52" s="545" t="str">
        <f t="shared" si="7"/>
        <v/>
      </c>
      <c r="L52" s="538"/>
      <c r="M52" s="539"/>
    </row>
    <row r="53" spans="1:14" x14ac:dyDescent="0.2">
      <c r="A53" s="551">
        <v>5146</v>
      </c>
      <c r="B53" s="540" t="s">
        <v>79</v>
      </c>
      <c r="C53" s="546">
        <v>2172.0100000000002</v>
      </c>
      <c r="D53" s="546">
        <v>4324.59</v>
      </c>
      <c r="E53" s="546">
        <v>6508.59</v>
      </c>
      <c r="H53" s="543">
        <f t="shared" si="8"/>
        <v>8760</v>
      </c>
      <c r="I53" s="569">
        <f t="shared" si="5"/>
        <v>8760</v>
      </c>
      <c r="J53" s="539">
        <f t="shared" si="6"/>
        <v>0</v>
      </c>
      <c r="K53" s="545" t="str">
        <f t="shared" si="7"/>
        <v/>
      </c>
      <c r="L53" s="538"/>
      <c r="M53" s="539"/>
    </row>
    <row r="54" spans="1:14" x14ac:dyDescent="0.2">
      <c r="A54" s="551">
        <v>5193</v>
      </c>
      <c r="B54" s="540" t="s">
        <v>800</v>
      </c>
      <c r="C54" s="546"/>
      <c r="D54" s="546">
        <v>1648.06</v>
      </c>
      <c r="E54" s="546"/>
      <c r="H54" s="543">
        <f t="shared" si="8"/>
        <v>0</v>
      </c>
      <c r="I54" s="569">
        <f t="shared" si="5"/>
        <v>0</v>
      </c>
      <c r="J54" s="539">
        <f t="shared" si="6"/>
        <v>0</v>
      </c>
      <c r="K54" s="545" t="str">
        <f t="shared" si="7"/>
        <v/>
      </c>
      <c r="L54" s="538"/>
      <c r="M54" s="539"/>
    </row>
    <row r="55" spans="1:14" hidden="1" x14ac:dyDescent="0.2">
      <c r="A55" s="551">
        <v>5194</v>
      </c>
      <c r="B55" s="540" t="s">
        <v>801</v>
      </c>
      <c r="C55" s="546"/>
      <c r="D55" s="546">
        <v>1609.12</v>
      </c>
      <c r="E55" s="546"/>
      <c r="H55" s="543">
        <f t="shared" si="8"/>
        <v>0</v>
      </c>
      <c r="I55" s="569">
        <f t="shared" si="5"/>
        <v>0</v>
      </c>
      <c r="J55" s="539">
        <f t="shared" si="6"/>
        <v>0</v>
      </c>
      <c r="K55" s="545" t="str">
        <f t="shared" si="7"/>
        <v/>
      </c>
      <c r="L55" s="538"/>
      <c r="M55" s="539"/>
    </row>
    <row r="56" spans="1:14" x14ac:dyDescent="0.2">
      <c r="A56" s="551">
        <v>5195</v>
      </c>
      <c r="B56" s="540" t="s">
        <v>161</v>
      </c>
      <c r="C56" s="546">
        <v>850.14</v>
      </c>
      <c r="D56" s="546">
        <v>631.98</v>
      </c>
      <c r="E56" s="546">
        <v>1038.2</v>
      </c>
      <c r="H56" s="543">
        <f>+J18</f>
        <v>3000</v>
      </c>
      <c r="I56" s="569">
        <f t="shared" si="5"/>
        <v>3000</v>
      </c>
      <c r="J56" s="539">
        <f t="shared" si="6"/>
        <v>0</v>
      </c>
      <c r="K56" s="545" t="str">
        <f t="shared" si="7"/>
        <v/>
      </c>
      <c r="L56" s="538"/>
      <c r="M56" s="539"/>
    </row>
    <row r="57" spans="1:14" x14ac:dyDescent="0.2">
      <c r="A57" s="551">
        <v>5310</v>
      </c>
      <c r="B57" s="540" t="s">
        <v>869</v>
      </c>
      <c r="C57" s="536"/>
      <c r="D57" s="536"/>
      <c r="E57" s="536">
        <v>1916.6</v>
      </c>
      <c r="H57" s="543">
        <f>+J21</f>
        <v>3000</v>
      </c>
      <c r="I57" s="569">
        <f>+L21</f>
        <v>3000</v>
      </c>
      <c r="J57" s="539">
        <f t="shared" si="6"/>
        <v>0</v>
      </c>
      <c r="K57" s="545" t="str">
        <f t="shared" si="7"/>
        <v/>
      </c>
      <c r="L57" s="538"/>
      <c r="M57" s="539"/>
    </row>
    <row r="58" spans="1:14" x14ac:dyDescent="0.2">
      <c r="A58" s="551">
        <v>5314</v>
      </c>
      <c r="B58" s="540" t="s">
        <v>134</v>
      </c>
      <c r="C58" s="536">
        <v>338</v>
      </c>
      <c r="D58" s="536">
        <v>726.4</v>
      </c>
      <c r="E58" s="536">
        <v>554</v>
      </c>
      <c r="H58" s="543">
        <f t="shared" ref="H58:H59" si="9">+J22</f>
        <v>3000</v>
      </c>
      <c r="I58" s="569">
        <f>+L22</f>
        <v>3000</v>
      </c>
      <c r="J58" s="539">
        <f t="shared" si="6"/>
        <v>0</v>
      </c>
      <c r="K58" s="545" t="str">
        <f t="shared" si="7"/>
        <v/>
      </c>
      <c r="L58" s="538"/>
      <c r="M58" s="539"/>
    </row>
    <row r="59" spans="1:14" ht="13.5" thickBot="1" x14ac:dyDescent="0.25">
      <c r="A59" s="551">
        <v>5710</v>
      </c>
      <c r="B59" s="540" t="s">
        <v>529</v>
      </c>
      <c r="C59" s="542">
        <v>973.49</v>
      </c>
      <c r="D59" s="542">
        <v>1718.11</v>
      </c>
      <c r="E59" s="542">
        <v>868.43</v>
      </c>
      <c r="H59" s="543">
        <f t="shared" si="9"/>
        <v>2000</v>
      </c>
      <c r="I59" s="569">
        <f>+L23</f>
        <v>2000</v>
      </c>
      <c r="J59" s="539">
        <f t="shared" si="6"/>
        <v>0</v>
      </c>
      <c r="K59" s="545" t="str">
        <f t="shared" si="7"/>
        <v/>
      </c>
      <c r="L59" s="538"/>
      <c r="M59" s="539"/>
    </row>
    <row r="60" spans="1:14" x14ac:dyDescent="0.2">
      <c r="C60" s="121"/>
    </row>
    <row r="61" spans="1:14" ht="15" x14ac:dyDescent="0.2">
      <c r="A61" s="72"/>
      <c r="B61" s="4" t="s">
        <v>1600</v>
      </c>
      <c r="C61" s="25"/>
      <c r="D61" s="25"/>
      <c r="E61" s="25"/>
      <c r="F61" s="25"/>
      <c r="G61" s="25"/>
      <c r="H61" s="849">
        <f>SUM(H46:H59)</f>
        <v>312299</v>
      </c>
      <c r="I61" s="849">
        <f>SUM(I46:I59)</f>
        <v>311584</v>
      </c>
      <c r="J61" s="208">
        <f t="shared" ref="J61" si="10">+I61-H61</f>
        <v>-715</v>
      </c>
      <c r="K61" s="850">
        <f t="shared" ref="K61" si="11">IF(H61+I61&lt;&gt;0,IF(H61&lt;&gt;0,IF(J61&lt;&gt;0,ROUND((+J61/H61),4),""),1),"")</f>
        <v>-2.3E-3</v>
      </c>
      <c r="L61" s="663"/>
      <c r="M61" s="663"/>
    </row>
    <row r="62" spans="1:14" x14ac:dyDescent="0.2">
      <c r="B62" s="4"/>
      <c r="C62" s="121"/>
    </row>
    <row r="63" spans="1:14" x14ac:dyDescent="0.2">
      <c r="B63" s="4"/>
      <c r="C63" s="121"/>
    </row>
    <row r="64" spans="1:14" s="4" customFormat="1" x14ac:dyDescent="0.2">
      <c r="C64" s="25"/>
      <c r="D64" s="25"/>
      <c r="E64" s="25"/>
      <c r="F64" s="25"/>
      <c r="G64" s="25"/>
      <c r="H64" s="25"/>
      <c r="I64" s="25"/>
      <c r="J64" s="25"/>
      <c r="L64" s="25"/>
      <c r="M64" s="25"/>
      <c r="N64" s="25"/>
    </row>
    <row r="65" spans="1:14" s="4" customFormat="1" x14ac:dyDescent="0.2">
      <c r="C65" s="25"/>
      <c r="D65" s="25"/>
      <c r="E65" s="25"/>
      <c r="F65" s="25"/>
      <c r="G65" s="25"/>
      <c r="H65" s="25"/>
      <c r="I65" s="25"/>
      <c r="J65" s="25"/>
      <c r="L65" s="25"/>
      <c r="M65" s="25"/>
      <c r="N65" s="25"/>
    </row>
    <row r="66" spans="1:14" s="4" customFormat="1" ht="14.25" x14ac:dyDescent="0.2">
      <c r="A66" s="49"/>
      <c r="C66" s="25"/>
      <c r="D66" s="25"/>
      <c r="E66" s="25"/>
      <c r="F66" s="25"/>
      <c r="G66" s="25"/>
      <c r="H66" s="25"/>
      <c r="I66" s="25"/>
      <c r="J66" s="25"/>
      <c r="L66" s="25"/>
      <c r="M66" s="25"/>
      <c r="N66" s="25"/>
    </row>
    <row r="67" spans="1:14" s="4" customFormat="1" ht="14.25" x14ac:dyDescent="0.2">
      <c r="A67" s="49"/>
      <c r="C67" s="25"/>
      <c r="D67" s="25"/>
      <c r="E67" s="25"/>
      <c r="F67" s="25"/>
      <c r="G67" s="25"/>
      <c r="H67" s="25"/>
      <c r="I67" s="25"/>
      <c r="J67" s="25"/>
      <c r="L67" s="25"/>
      <c r="M67" s="25"/>
      <c r="N67" s="25"/>
    </row>
    <row r="68" spans="1:14" s="4" customFormat="1" ht="14.25" x14ac:dyDescent="0.2">
      <c r="A68" s="49"/>
      <c r="C68" s="25"/>
      <c r="D68" s="25"/>
      <c r="E68" s="25"/>
      <c r="F68" s="25"/>
      <c r="G68" s="25"/>
      <c r="H68" s="25"/>
      <c r="I68" s="25"/>
      <c r="J68" s="25"/>
      <c r="L68" s="25"/>
      <c r="M68" s="25"/>
      <c r="N68" s="25"/>
    </row>
    <row r="69" spans="1:14" s="4" customFormat="1" ht="14.25" x14ac:dyDescent="0.2">
      <c r="A69" s="759"/>
      <c r="C69" s="25"/>
      <c r="D69" s="25"/>
      <c r="E69" s="25"/>
      <c r="F69" s="25"/>
      <c r="G69" s="25"/>
      <c r="H69" s="25"/>
      <c r="I69" s="25"/>
      <c r="J69" s="25"/>
      <c r="L69" s="25"/>
      <c r="M69" s="25"/>
      <c r="N69" s="25"/>
    </row>
    <row r="70" spans="1:14" s="4" customFormat="1" x14ac:dyDescent="0.2">
      <c r="C70" s="25"/>
      <c r="D70" s="25"/>
      <c r="E70" s="25"/>
      <c r="F70" s="25"/>
      <c r="G70" s="25"/>
      <c r="H70" s="25"/>
      <c r="I70" s="25"/>
      <c r="J70" s="25"/>
      <c r="L70" s="25"/>
      <c r="M70" s="25"/>
      <c r="N70" s="25"/>
    </row>
    <row r="71" spans="1:14" x14ac:dyDescent="0.2">
      <c r="C71" s="121"/>
    </row>
    <row r="72" spans="1:14" x14ac:dyDescent="0.2">
      <c r="C72" s="121"/>
    </row>
    <row r="73" spans="1:14" x14ac:dyDescent="0.2">
      <c r="C73" s="121"/>
    </row>
    <row r="74" spans="1:14" x14ac:dyDescent="0.2">
      <c r="C74" s="121"/>
    </row>
    <row r="75" spans="1:14" x14ac:dyDescent="0.2">
      <c r="C75" s="121"/>
    </row>
    <row r="76" spans="1:14" x14ac:dyDescent="0.2">
      <c r="C76" s="121"/>
    </row>
    <row r="77" spans="1:14" x14ac:dyDescent="0.2">
      <c r="C77" s="121"/>
    </row>
    <row r="78" spans="1:14" x14ac:dyDescent="0.2">
      <c r="C78" s="121"/>
    </row>
    <row r="79" spans="1:14" x14ac:dyDescent="0.2">
      <c r="C79" s="121"/>
    </row>
    <row r="80" spans="1:14" x14ac:dyDescent="0.2">
      <c r="C80" s="121"/>
    </row>
    <row r="81" spans="3:3" x14ac:dyDescent="0.2">
      <c r="C81" s="121"/>
    </row>
    <row r="82" spans="3:3" x14ac:dyDescent="0.2">
      <c r="C82" s="121"/>
    </row>
    <row r="83" spans="3:3" x14ac:dyDescent="0.2">
      <c r="C83" s="121"/>
    </row>
    <row r="84" spans="3:3" x14ac:dyDescent="0.2">
      <c r="C84" s="121"/>
    </row>
    <row r="85" spans="3:3" x14ac:dyDescent="0.2">
      <c r="C85" s="121"/>
    </row>
    <row r="86" spans="3:3" x14ac:dyDescent="0.2">
      <c r="C86" s="121"/>
    </row>
    <row r="87" spans="3:3" x14ac:dyDescent="0.2">
      <c r="C87" s="121"/>
    </row>
    <row r="88" spans="3:3" x14ac:dyDescent="0.2">
      <c r="C88" s="121"/>
    </row>
    <row r="89" spans="3:3" x14ac:dyDescent="0.2">
      <c r="C89" s="121"/>
    </row>
    <row r="90" spans="3:3" x14ac:dyDescent="0.2">
      <c r="C90" s="121"/>
    </row>
    <row r="91" spans="3:3" x14ac:dyDescent="0.2">
      <c r="C91" s="121"/>
    </row>
    <row r="92" spans="3:3" x14ac:dyDescent="0.2">
      <c r="C92" s="121"/>
    </row>
    <row r="93" spans="3:3" x14ac:dyDescent="0.2">
      <c r="C93" s="121"/>
    </row>
    <row r="94" spans="3:3" x14ac:dyDescent="0.2">
      <c r="C94" s="121"/>
    </row>
    <row r="95" spans="3:3" x14ac:dyDescent="0.2">
      <c r="C95" s="121"/>
    </row>
    <row r="96" spans="3:3" x14ac:dyDescent="0.2">
      <c r="C96" s="121"/>
    </row>
    <row r="97" spans="3:3" x14ac:dyDescent="0.2">
      <c r="C97" s="121"/>
    </row>
    <row r="98" spans="3:3" x14ac:dyDescent="0.2">
      <c r="C98" s="121"/>
    </row>
    <row r="99" spans="3:3" x14ac:dyDescent="0.2">
      <c r="C99" s="121"/>
    </row>
    <row r="100" spans="3:3" x14ac:dyDescent="0.2">
      <c r="C100" s="121"/>
    </row>
    <row r="101" spans="3:3" x14ac:dyDescent="0.2">
      <c r="C101" s="121"/>
    </row>
    <row r="102" spans="3:3" x14ac:dyDescent="0.2">
      <c r="C102" s="121"/>
    </row>
    <row r="103" spans="3:3" x14ac:dyDescent="0.2">
      <c r="C103" s="121"/>
    </row>
    <row r="104" spans="3:3" x14ac:dyDescent="0.2">
      <c r="C104" s="121"/>
    </row>
    <row r="105" spans="3:3" x14ac:dyDescent="0.2">
      <c r="C105" s="121"/>
    </row>
    <row r="106" spans="3:3" x14ac:dyDescent="0.2">
      <c r="C106" s="121"/>
    </row>
    <row r="107" spans="3:3" x14ac:dyDescent="0.2">
      <c r="C107" s="121"/>
    </row>
    <row r="108" spans="3:3" x14ac:dyDescent="0.2">
      <c r="C108" s="121"/>
    </row>
    <row r="109" spans="3:3" x14ac:dyDescent="0.2">
      <c r="C109" s="121"/>
    </row>
    <row r="110" spans="3:3" x14ac:dyDescent="0.2">
      <c r="C110" s="121"/>
    </row>
    <row r="111" spans="3:3" x14ac:dyDescent="0.2">
      <c r="C111" s="121"/>
    </row>
    <row r="112" spans="3:3"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row r="128" spans="3:3"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sheetData>
  <phoneticPr fontId="0" type="noConversion"/>
  <hyperlinks>
    <hyperlink ref="A1" location="'Working Budget with funding det'!A1" display="Main "/>
    <hyperlink ref="B1" location="'Table of Contents'!A1" display="TOC"/>
  </hyperlinks>
  <pageMargins left="0.75" right="0.75" top="1" bottom="1" header="0.5" footer="0.5"/>
  <pageSetup scale="99" fitToHeight="2" orientation="landscape" horizontalDpi="300" verticalDpi="300" r:id="rId1"/>
  <headerFooter alignWithMargins="0">
    <oddFooter>&amp;L&amp;D  &amp;T&amp;C&amp;F&amp;R&amp;A</oddFooter>
  </headerFooter>
  <rowBreaks count="1" manualBreakCount="1">
    <brk id="30"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9"/>
  <sheetViews>
    <sheetView zoomScale="85" workbookViewId="0">
      <pane ySplit="7" topLeftCell="A37" activePane="bottomLeft" state="frozen"/>
      <selection activeCell="K15" sqref="K15"/>
      <selection pane="bottomLeft" activeCell="J43" sqref="J43"/>
    </sheetView>
  </sheetViews>
  <sheetFormatPr defaultRowHeight="12.75" x14ac:dyDescent="0.2"/>
  <cols>
    <col min="1" max="1" width="10.83203125" customWidth="1"/>
    <col min="2" max="2" width="36.6640625" customWidth="1"/>
    <col min="3" max="3" width="14.5" style="1" hidden="1" customWidth="1"/>
    <col min="4" max="7" width="14.5" style="121" hidden="1" customWidth="1"/>
    <col min="8" max="10" width="14.5" style="121" customWidth="1"/>
    <col min="11" max="11" width="14.5" customWidth="1"/>
    <col min="12" max="14" width="14.5" style="1" customWidth="1"/>
    <col min="15" max="17" width="14.5" customWidth="1"/>
    <col min="18" max="18" width="14.6640625" style="2" customWidth="1"/>
  </cols>
  <sheetData>
    <row r="1" spans="1:17" x14ac:dyDescent="0.2">
      <c r="A1" s="410" t="s">
        <v>1013</v>
      </c>
      <c r="B1" s="410" t="s">
        <v>1418</v>
      </c>
      <c r="N1"/>
    </row>
    <row r="2" spans="1:17" ht="15" x14ac:dyDescent="0.25">
      <c r="A2" s="49" t="s">
        <v>256</v>
      </c>
      <c r="B2" s="49"/>
      <c r="E2" s="153"/>
      <c r="H2" s="153" t="s">
        <v>252</v>
      </c>
      <c r="I2" s="153"/>
      <c r="J2" s="153"/>
      <c r="K2" s="67" t="s">
        <v>356</v>
      </c>
      <c r="M2" s="50" t="s">
        <v>480</v>
      </c>
    </row>
    <row r="3" spans="1:17" ht="13.5" thickBot="1" x14ac:dyDescent="0.25">
      <c r="A3" s="4"/>
      <c r="B3" s="4"/>
      <c r="C3" s="25"/>
      <c r="D3" s="25"/>
      <c r="E3" s="25"/>
      <c r="F3" s="25"/>
      <c r="G3" s="25"/>
      <c r="H3" s="25"/>
      <c r="I3" s="25"/>
      <c r="J3" s="25"/>
      <c r="K3" s="4"/>
      <c r="L3" s="25"/>
      <c r="M3" s="4"/>
      <c r="N3" s="4"/>
      <c r="Q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318"/>
      <c r="J5" s="318"/>
      <c r="K5" s="120" t="s">
        <v>509</v>
      </c>
      <c r="L5" s="95" t="s">
        <v>7</v>
      </c>
      <c r="M5" s="209" t="s">
        <v>783</v>
      </c>
    </row>
    <row r="6" spans="1:17" x14ac:dyDescent="0.2">
      <c r="A6" s="93"/>
      <c r="B6" s="216"/>
      <c r="C6" s="137"/>
      <c r="D6" s="137"/>
      <c r="E6" s="137"/>
      <c r="F6" s="137"/>
      <c r="G6" s="137"/>
      <c r="H6" s="137"/>
      <c r="I6" s="95"/>
      <c r="J6" s="95"/>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7" ht="13.5" thickTop="1" x14ac:dyDescent="0.2">
      <c r="A8" s="10"/>
      <c r="B8" s="192"/>
      <c r="C8" s="139"/>
      <c r="D8" s="345"/>
      <c r="E8" s="345"/>
      <c r="F8" s="345"/>
      <c r="G8" s="345"/>
      <c r="H8" s="345"/>
      <c r="I8" s="345"/>
      <c r="J8" s="177"/>
      <c r="K8" s="68"/>
      <c r="L8" s="11"/>
      <c r="M8" s="11"/>
    </row>
    <row r="9" spans="1:17" x14ac:dyDescent="0.2">
      <c r="A9" s="12">
        <v>5111</v>
      </c>
      <c r="B9" s="69" t="s">
        <v>683</v>
      </c>
      <c r="C9" s="140">
        <v>96122.44</v>
      </c>
      <c r="D9" s="14">
        <v>98465.76</v>
      </c>
      <c r="E9" s="14">
        <v>101448.58</v>
      </c>
      <c r="F9" s="14">
        <v>103968.7</v>
      </c>
      <c r="G9" s="14">
        <v>105991</v>
      </c>
      <c r="H9" s="14">
        <v>112846.15</v>
      </c>
      <c r="I9" s="14">
        <v>104318.8</v>
      </c>
      <c r="J9" s="132">
        <f>2033+105977</f>
        <v>108010</v>
      </c>
      <c r="K9" s="14">
        <v>51444.25</v>
      </c>
      <c r="L9" s="132">
        <f>ROUND((+K41+K42),0)</f>
        <v>110824</v>
      </c>
      <c r="M9" s="15"/>
    </row>
    <row r="10" spans="1:17" x14ac:dyDescent="0.2">
      <c r="A10" s="12">
        <v>5124</v>
      </c>
      <c r="B10" s="69" t="s">
        <v>180</v>
      </c>
      <c r="C10" s="140"/>
      <c r="D10" s="14"/>
      <c r="E10" s="14"/>
      <c r="F10" s="14"/>
      <c r="G10" s="14"/>
      <c r="H10" s="14">
        <v>2692.25</v>
      </c>
      <c r="I10" s="14">
        <v>1874.75</v>
      </c>
      <c r="J10" s="15"/>
      <c r="K10" s="14"/>
      <c r="L10" s="15">
        <v>300</v>
      </c>
      <c r="M10" s="15"/>
    </row>
    <row r="11" spans="1:17" x14ac:dyDescent="0.2">
      <c r="A11" s="12">
        <v>5140</v>
      </c>
      <c r="B11" s="69" t="s">
        <v>169</v>
      </c>
      <c r="C11" s="140">
        <v>324.72000000000003</v>
      </c>
      <c r="D11" s="14">
        <v>487.08</v>
      </c>
      <c r="E11" s="14">
        <v>162.36000000000001</v>
      </c>
      <c r="F11" s="14"/>
      <c r="G11" s="14">
        <v>275</v>
      </c>
      <c r="H11" s="14"/>
      <c r="I11" s="14">
        <v>302.5</v>
      </c>
      <c r="J11" s="15">
        <v>1150</v>
      </c>
      <c r="K11" s="156"/>
      <c r="L11" s="15">
        <v>900</v>
      </c>
      <c r="M11" s="15"/>
    </row>
    <row r="12" spans="1:17" x14ac:dyDescent="0.2">
      <c r="A12" s="12">
        <v>5141</v>
      </c>
      <c r="B12" s="69" t="s">
        <v>170</v>
      </c>
      <c r="C12" s="140">
        <v>2976.6</v>
      </c>
      <c r="D12" s="14">
        <v>2408.34</v>
      </c>
      <c r="E12" s="14">
        <v>2841.3</v>
      </c>
      <c r="F12" s="14">
        <v>2282.5</v>
      </c>
      <c r="G12" s="14">
        <v>2530</v>
      </c>
      <c r="H12" s="14">
        <v>2282.5</v>
      </c>
      <c r="I12" s="14">
        <v>2117.5</v>
      </c>
      <c r="J12" s="15">
        <v>4250</v>
      </c>
      <c r="K12" s="14">
        <v>770</v>
      </c>
      <c r="L12" s="15">
        <v>4250</v>
      </c>
      <c r="M12" s="15"/>
    </row>
    <row r="13" spans="1:17" x14ac:dyDescent="0.2">
      <c r="A13" s="12">
        <v>5142</v>
      </c>
      <c r="B13" s="69" t="s">
        <v>174</v>
      </c>
      <c r="C13" s="140">
        <v>2516.58</v>
      </c>
      <c r="D13" s="14">
        <v>2570.6999999999998</v>
      </c>
      <c r="E13" s="14">
        <v>3220.14</v>
      </c>
      <c r="F13" s="14">
        <v>4840</v>
      </c>
      <c r="G13" s="14">
        <v>3685</v>
      </c>
      <c r="H13" s="14">
        <v>3052.5</v>
      </c>
      <c r="I13" s="14">
        <v>4152.5</v>
      </c>
      <c r="J13" s="15">
        <v>4250</v>
      </c>
      <c r="K13" s="14">
        <v>1995</v>
      </c>
      <c r="L13" s="15">
        <v>4250</v>
      </c>
      <c r="M13" s="15"/>
    </row>
    <row r="14" spans="1:17" x14ac:dyDescent="0.2">
      <c r="A14" s="12">
        <v>5143</v>
      </c>
      <c r="B14" s="69" t="s">
        <v>176</v>
      </c>
      <c r="C14" s="140">
        <v>5412</v>
      </c>
      <c r="D14" s="14">
        <v>5709.66</v>
      </c>
      <c r="E14" s="14">
        <v>6332.04</v>
      </c>
      <c r="F14" s="14">
        <v>7727.5</v>
      </c>
      <c r="G14" s="14">
        <v>5940</v>
      </c>
      <c r="H14" s="14">
        <v>4950</v>
      </c>
      <c r="I14" s="14">
        <f>200+4922.5</f>
        <v>5122.5</v>
      </c>
      <c r="J14" s="15">
        <v>10750</v>
      </c>
      <c r="K14" s="14">
        <v>4235</v>
      </c>
      <c r="L14" s="15">
        <v>10750</v>
      </c>
      <c r="M14" s="15"/>
    </row>
    <row r="15" spans="1:17" x14ac:dyDescent="0.2">
      <c r="A15" s="12">
        <v>5144</v>
      </c>
      <c r="B15" s="69" t="s">
        <v>152</v>
      </c>
      <c r="C15" s="263">
        <v>600</v>
      </c>
      <c r="D15" s="39">
        <v>450</v>
      </c>
      <c r="E15" s="39">
        <v>500</v>
      </c>
      <c r="F15" s="39">
        <v>1000</v>
      </c>
      <c r="G15" s="39">
        <v>1900</v>
      </c>
      <c r="H15" s="39">
        <v>800</v>
      </c>
      <c r="I15" s="244">
        <v>800</v>
      </c>
      <c r="J15" s="135">
        <v>900</v>
      </c>
      <c r="K15" s="39"/>
      <c r="L15" s="135">
        <f>+N42</f>
        <v>900</v>
      </c>
      <c r="M15" s="135"/>
    </row>
    <row r="16" spans="1:17" ht="13.5" thickBot="1" x14ac:dyDescent="0.25">
      <c r="A16" s="12">
        <v>5145</v>
      </c>
      <c r="B16" s="69" t="s">
        <v>597</v>
      </c>
      <c r="C16" s="141">
        <v>300.04000000000002</v>
      </c>
      <c r="D16" s="16">
        <v>300.04000000000002</v>
      </c>
      <c r="E16" s="16">
        <v>300.04000000000002</v>
      </c>
      <c r="F16" s="14">
        <v>305.81</v>
      </c>
      <c r="G16" s="14">
        <v>300.04000000000002</v>
      </c>
      <c r="H16" s="14">
        <v>334.66</v>
      </c>
      <c r="I16" s="14">
        <v>300.04000000000002</v>
      </c>
      <c r="J16" s="15">
        <v>300</v>
      </c>
      <c r="K16" s="14">
        <v>144.25</v>
      </c>
      <c r="L16" s="15">
        <v>300</v>
      </c>
      <c r="M16" s="15"/>
    </row>
    <row r="17" spans="1:14" x14ac:dyDescent="0.2">
      <c r="A17" s="12">
        <v>5193</v>
      </c>
      <c r="B17" s="69" t="s">
        <v>1212</v>
      </c>
      <c r="C17" s="811"/>
      <c r="D17" s="32"/>
      <c r="E17" s="32"/>
      <c r="F17" s="14"/>
      <c r="G17" s="14"/>
      <c r="H17" s="14">
        <v>3057.16</v>
      </c>
      <c r="I17" s="14"/>
      <c r="J17" s="15"/>
      <c r="K17" s="14"/>
      <c r="L17" s="15"/>
      <c r="M17" s="15"/>
    </row>
    <row r="18" spans="1:14" ht="13.5" thickBot="1" x14ac:dyDescent="0.25">
      <c r="A18" s="12">
        <v>5194</v>
      </c>
      <c r="B18" s="69" t="s">
        <v>1213</v>
      </c>
      <c r="C18" s="811"/>
      <c r="D18" s="32"/>
      <c r="E18" s="32"/>
      <c r="F18" s="16"/>
      <c r="G18" s="16"/>
      <c r="H18" s="16">
        <v>3500</v>
      </c>
      <c r="I18" s="16"/>
      <c r="J18" s="17"/>
      <c r="K18" s="16"/>
      <c r="L18" s="17"/>
      <c r="M18" s="17"/>
    </row>
    <row r="19" spans="1:14" x14ac:dyDescent="0.2">
      <c r="A19" s="12"/>
      <c r="B19" s="18" t="s">
        <v>125</v>
      </c>
      <c r="C19" s="19">
        <f t="shared" ref="C19:K19" si="0">SUM(C9:C16)</f>
        <v>108252.38</v>
      </c>
      <c r="D19" s="19">
        <f t="shared" si="0"/>
        <v>110391.57999999999</v>
      </c>
      <c r="E19" s="19">
        <f t="shared" si="0"/>
        <v>114804.45999999999</v>
      </c>
      <c r="F19" s="19">
        <f>SUM(F9:F18)</f>
        <v>120124.51</v>
      </c>
      <c r="G19" s="19">
        <f>SUM(G9:G18)</f>
        <v>120621.04</v>
      </c>
      <c r="H19" s="19">
        <f>SUM(H9:H18)</f>
        <v>133515.22</v>
      </c>
      <c r="I19" s="19">
        <f>SUM(I9:I18)</f>
        <v>118988.59</v>
      </c>
      <c r="J19" s="20">
        <f>SUM(J9:J18)</f>
        <v>129610</v>
      </c>
      <c r="K19" s="19">
        <f t="shared" si="0"/>
        <v>58588.5</v>
      </c>
      <c r="L19" s="20">
        <f>SUM(L9:L18)</f>
        <v>132474</v>
      </c>
      <c r="M19" s="20">
        <f>+L19</f>
        <v>132474</v>
      </c>
    </row>
    <row r="20" spans="1:14" x14ac:dyDescent="0.2">
      <c r="A20" s="12"/>
      <c r="B20" s="18"/>
      <c r="C20" s="19"/>
      <c r="D20" s="19"/>
      <c r="E20" s="19"/>
      <c r="F20" s="19"/>
      <c r="G20" s="19"/>
      <c r="H20" s="19"/>
      <c r="I20" s="19"/>
      <c r="J20" s="134"/>
      <c r="K20" s="19"/>
      <c r="L20" s="134"/>
      <c r="M20" s="134"/>
    </row>
    <row r="21" spans="1:14" x14ac:dyDescent="0.2">
      <c r="A21" s="12"/>
      <c r="B21" s="13"/>
      <c r="C21" s="14"/>
      <c r="D21" s="14"/>
      <c r="E21" s="14"/>
      <c r="F21" s="14"/>
      <c r="G21" s="14"/>
      <c r="H21" s="14"/>
      <c r="I21" s="14"/>
      <c r="J21" s="132"/>
      <c r="K21" s="14"/>
      <c r="L21" s="132"/>
      <c r="M21" s="132"/>
    </row>
    <row r="22" spans="1:14" x14ac:dyDescent="0.2">
      <c r="A22" s="12">
        <v>5314</v>
      </c>
      <c r="B22" s="13" t="s">
        <v>134</v>
      </c>
      <c r="C22" s="14">
        <v>505</v>
      </c>
      <c r="D22" s="14">
        <v>769</v>
      </c>
      <c r="E22" s="14">
        <v>570</v>
      </c>
      <c r="F22" s="14">
        <v>270</v>
      </c>
      <c r="G22" s="14">
        <v>424</v>
      </c>
      <c r="H22" s="14">
        <v>180.75</v>
      </c>
      <c r="I22" s="14">
        <v>775</v>
      </c>
      <c r="J22" s="15">
        <v>800</v>
      </c>
      <c r="K22" s="14">
        <v>465</v>
      </c>
      <c r="L22" s="15">
        <v>800</v>
      </c>
      <c r="M22" s="15"/>
    </row>
    <row r="23" spans="1:14" x14ac:dyDescent="0.2">
      <c r="A23" s="12">
        <v>5341</v>
      </c>
      <c r="B23" s="13" t="s">
        <v>1129</v>
      </c>
      <c r="C23" s="14">
        <v>413.7</v>
      </c>
      <c r="D23" s="14">
        <v>409.63</v>
      </c>
      <c r="E23" s="14">
        <v>412.4</v>
      </c>
      <c r="F23" s="14">
        <v>457.98</v>
      </c>
      <c r="G23" s="14">
        <v>472.84</v>
      </c>
      <c r="H23" s="14"/>
      <c r="I23" s="14">
        <v>306.58999999999997</v>
      </c>
      <c r="J23" s="15">
        <v>960</v>
      </c>
      <c r="K23" s="14">
        <v>399.94</v>
      </c>
      <c r="L23" s="15">
        <v>960</v>
      </c>
      <c r="M23" s="15"/>
      <c r="N23" s="235"/>
    </row>
    <row r="24" spans="1:14" x14ac:dyDescent="0.2">
      <c r="A24" s="12">
        <v>5344</v>
      </c>
      <c r="B24" s="13" t="s">
        <v>137</v>
      </c>
      <c r="C24" s="14">
        <v>219.02</v>
      </c>
      <c r="D24" s="14">
        <v>243.85</v>
      </c>
      <c r="E24" s="14">
        <v>244.23</v>
      </c>
      <c r="F24" s="14">
        <v>170.9</v>
      </c>
      <c r="G24" s="14">
        <v>207.64</v>
      </c>
      <c r="H24" s="14">
        <v>272.11</v>
      </c>
      <c r="I24" s="14">
        <v>42.28</v>
      </c>
      <c r="J24" s="15">
        <v>250</v>
      </c>
      <c r="K24" s="110"/>
      <c r="L24" s="15">
        <v>250</v>
      </c>
      <c r="M24" s="15"/>
    </row>
    <row r="25" spans="1:14" x14ac:dyDescent="0.2">
      <c r="A25" s="12">
        <v>5345</v>
      </c>
      <c r="B25" s="13" t="s">
        <v>138</v>
      </c>
      <c r="C25" s="14"/>
      <c r="D25" s="14"/>
      <c r="E25" s="14"/>
      <c r="F25" s="14"/>
      <c r="G25" s="14"/>
      <c r="H25" s="14">
        <v>644.76</v>
      </c>
      <c r="I25" s="14"/>
      <c r="J25" s="15"/>
      <c r="K25" s="110"/>
      <c r="L25" s="15"/>
      <c r="M25" s="15"/>
    </row>
    <row r="26" spans="1:14" x14ac:dyDescent="0.2">
      <c r="A26" s="12">
        <v>5350</v>
      </c>
      <c r="B26" s="13" t="s">
        <v>1412</v>
      </c>
      <c r="C26" s="14"/>
      <c r="D26" s="14"/>
      <c r="E26" s="14"/>
      <c r="F26" s="14"/>
      <c r="G26" s="14"/>
      <c r="H26" s="14"/>
      <c r="I26" s="14"/>
      <c r="J26" s="15">
        <v>6000</v>
      </c>
      <c r="K26" s="110">
        <v>6000</v>
      </c>
      <c r="L26" s="15">
        <v>4500</v>
      </c>
      <c r="M26" s="15"/>
    </row>
    <row r="27" spans="1:14" x14ac:dyDescent="0.2">
      <c r="A27" s="12">
        <v>5420</v>
      </c>
      <c r="B27" s="13" t="s">
        <v>139</v>
      </c>
      <c r="C27" s="14">
        <v>409.8</v>
      </c>
      <c r="D27" s="14">
        <v>757.31</v>
      </c>
      <c r="E27" s="14">
        <v>467.68</v>
      </c>
      <c r="F27" s="14">
        <v>659.16</v>
      </c>
      <c r="G27" s="14">
        <v>900.34</v>
      </c>
      <c r="H27" s="14">
        <v>2481.89</v>
      </c>
      <c r="I27" s="14">
        <v>441.73</v>
      </c>
      <c r="J27" s="15">
        <v>700</v>
      </c>
      <c r="K27" s="110">
        <v>295.66000000000003</v>
      </c>
      <c r="L27" s="15">
        <v>700</v>
      </c>
      <c r="M27" s="15"/>
    </row>
    <row r="28" spans="1:14" x14ac:dyDescent="0.2">
      <c r="A28" s="12">
        <v>5581</v>
      </c>
      <c r="B28" s="13" t="s">
        <v>141</v>
      </c>
      <c r="C28" s="81"/>
      <c r="D28" s="14">
        <v>0</v>
      </c>
      <c r="E28" s="14"/>
      <c r="F28" s="14"/>
      <c r="G28" s="14"/>
      <c r="H28" s="14">
        <v>1321.6</v>
      </c>
      <c r="I28" s="14">
        <v>100</v>
      </c>
      <c r="J28" s="15">
        <v>400</v>
      </c>
      <c r="K28" s="14"/>
      <c r="L28" s="15">
        <v>400</v>
      </c>
      <c r="M28" s="15"/>
    </row>
    <row r="29" spans="1:14" x14ac:dyDescent="0.2">
      <c r="A29" s="12">
        <v>5590</v>
      </c>
      <c r="B29" s="13" t="s">
        <v>1128</v>
      </c>
      <c r="C29" s="14"/>
      <c r="D29" s="14"/>
      <c r="E29" s="14"/>
      <c r="F29" s="14"/>
      <c r="G29" s="14"/>
      <c r="H29" s="14">
        <v>1606.14</v>
      </c>
      <c r="I29" s="14">
        <v>753.57</v>
      </c>
      <c r="J29" s="15"/>
      <c r="K29" s="110"/>
      <c r="L29" s="15"/>
      <c r="M29" s="20"/>
    </row>
    <row r="30" spans="1:14" x14ac:dyDescent="0.2">
      <c r="A30" s="12">
        <v>5710</v>
      </c>
      <c r="B30" s="13" t="s">
        <v>128</v>
      </c>
      <c r="C30" s="19">
        <v>1845.47</v>
      </c>
      <c r="D30" s="19">
        <v>1812.25</v>
      </c>
      <c r="E30" s="19">
        <v>1758.79</v>
      </c>
      <c r="F30" s="19">
        <v>1752.48</v>
      </c>
      <c r="G30" s="19">
        <v>1486.05</v>
      </c>
      <c r="H30" s="19">
        <v>1778.58</v>
      </c>
      <c r="I30" s="19">
        <v>2731.22</v>
      </c>
      <c r="J30" s="20">
        <v>1200</v>
      </c>
      <c r="K30" s="136">
        <v>902.86</v>
      </c>
      <c r="L30" s="20">
        <v>1200</v>
      </c>
      <c r="M30" s="20"/>
    </row>
    <row r="31" spans="1:14" ht="13.5" thickBot="1" x14ac:dyDescent="0.25">
      <c r="A31" s="12">
        <v>5730</v>
      </c>
      <c r="B31" s="13" t="s">
        <v>142</v>
      </c>
      <c r="C31" s="16">
        <v>80</v>
      </c>
      <c r="D31" s="16">
        <v>80</v>
      </c>
      <c r="E31" s="16">
        <v>80</v>
      </c>
      <c r="F31" s="16">
        <v>80</v>
      </c>
      <c r="G31" s="16">
        <v>80</v>
      </c>
      <c r="H31" s="16">
        <v>350</v>
      </c>
      <c r="I31" s="16">
        <v>80</v>
      </c>
      <c r="J31" s="17">
        <v>160</v>
      </c>
      <c r="K31" s="16">
        <v>80</v>
      </c>
      <c r="L31" s="17">
        <v>160</v>
      </c>
      <c r="M31" s="17"/>
    </row>
    <row r="32" spans="1:14" x14ac:dyDescent="0.2">
      <c r="A32" s="12"/>
      <c r="B32" s="18" t="s">
        <v>442</v>
      </c>
      <c r="C32" s="19">
        <f t="shared" ref="C32:L32" si="1">SUM(C22:C31)</f>
        <v>3472.99</v>
      </c>
      <c r="D32" s="19">
        <f t="shared" si="1"/>
        <v>4072.04</v>
      </c>
      <c r="E32" s="19">
        <f t="shared" si="1"/>
        <v>3533.1</v>
      </c>
      <c r="F32" s="19">
        <f t="shared" si="1"/>
        <v>3390.52</v>
      </c>
      <c r="G32" s="19">
        <f t="shared" si="1"/>
        <v>3570.87</v>
      </c>
      <c r="H32" s="19">
        <f t="shared" si="1"/>
        <v>8635.83</v>
      </c>
      <c r="I32" s="19">
        <f t="shared" si="1"/>
        <v>5230.3899999999994</v>
      </c>
      <c r="J32" s="20">
        <f t="shared" ref="J32" si="2">SUM(J22:J31)</f>
        <v>10470</v>
      </c>
      <c r="K32" s="19">
        <f t="shared" si="1"/>
        <v>8143.46</v>
      </c>
      <c r="L32" s="20">
        <f t="shared" si="1"/>
        <v>8970</v>
      </c>
      <c r="M32" s="20">
        <f>+L32</f>
        <v>8970</v>
      </c>
    </row>
    <row r="33" spans="1:17" x14ac:dyDescent="0.2">
      <c r="A33" s="12"/>
      <c r="B33" s="13"/>
      <c r="C33" s="14"/>
      <c r="D33" s="14"/>
      <c r="E33" s="14"/>
      <c r="F33" s="14"/>
      <c r="G33" s="14"/>
      <c r="H33" s="14"/>
      <c r="I33" s="14"/>
      <c r="J33" s="15"/>
      <c r="K33" s="14"/>
      <c r="L33" s="15"/>
      <c r="M33" s="15"/>
    </row>
    <row r="34" spans="1:17" ht="13.5" thickBot="1" x14ac:dyDescent="0.25">
      <c r="A34" s="21"/>
      <c r="B34" s="22" t="s">
        <v>292</v>
      </c>
      <c r="C34" s="23">
        <f t="shared" ref="C34:M34" si="3">+C32+C19</f>
        <v>111725.37000000001</v>
      </c>
      <c r="D34" s="23">
        <f t="shared" si="3"/>
        <v>114463.61999999998</v>
      </c>
      <c r="E34" s="23">
        <f t="shared" si="3"/>
        <v>118337.56</v>
      </c>
      <c r="F34" s="23">
        <f t="shared" si="3"/>
        <v>123515.03</v>
      </c>
      <c r="G34" s="23">
        <f t="shared" si="3"/>
        <v>124191.90999999999</v>
      </c>
      <c r="H34" s="23">
        <f t="shared" si="3"/>
        <v>142151.04999999999</v>
      </c>
      <c r="I34" s="23">
        <f t="shared" si="3"/>
        <v>124218.98</v>
      </c>
      <c r="J34" s="24">
        <f t="shared" ref="J34" si="4">+J32+J19</f>
        <v>140080</v>
      </c>
      <c r="K34" s="23">
        <f t="shared" si="3"/>
        <v>66731.960000000006</v>
      </c>
      <c r="L34" s="24">
        <f t="shared" si="3"/>
        <v>141444</v>
      </c>
      <c r="M34" s="24">
        <f t="shared" si="3"/>
        <v>141444</v>
      </c>
    </row>
    <row r="35" spans="1:17" ht="16.5" thickTop="1" x14ac:dyDescent="0.25">
      <c r="A35" s="72">
        <v>43788</v>
      </c>
      <c r="B35" s="4" t="s">
        <v>1486</v>
      </c>
      <c r="C35" s="25"/>
      <c r="D35" s="25"/>
      <c r="E35" s="25"/>
      <c r="F35" s="25"/>
      <c r="G35" s="25"/>
      <c r="H35" s="25"/>
      <c r="I35" s="25"/>
      <c r="J35" s="25"/>
      <c r="K35" s="29"/>
      <c r="L35" s="25"/>
      <c r="M35" s="84"/>
      <c r="N35" s="25"/>
      <c r="O35" s="29"/>
      <c r="P35" s="214"/>
      <c r="Q35" s="29"/>
    </row>
    <row r="36" spans="1:17" x14ac:dyDescent="0.2">
      <c r="A36" s="4"/>
      <c r="B36" s="4"/>
      <c r="C36" s="26"/>
      <c r="D36" s="25"/>
      <c r="E36" s="25"/>
      <c r="F36" s="25"/>
      <c r="G36" s="25"/>
      <c r="H36" s="25"/>
      <c r="I36" s="25"/>
      <c r="J36" s="25"/>
      <c r="K36" s="29"/>
      <c r="L36" s="25"/>
      <c r="M36" s="84"/>
      <c r="N36" s="29"/>
      <c r="O36" s="29"/>
      <c r="P36" s="29"/>
      <c r="Q36" s="29"/>
    </row>
    <row r="37" spans="1:17" x14ac:dyDescent="0.2">
      <c r="A37" s="4" t="s">
        <v>521</v>
      </c>
      <c r="B37" s="4"/>
    </row>
    <row r="38" spans="1:17" ht="13.5" thickBot="1" x14ac:dyDescent="0.25">
      <c r="A38" s="4"/>
      <c r="B38" s="4"/>
    </row>
    <row r="39" spans="1:17" ht="13.5" thickTop="1" x14ac:dyDescent="0.2">
      <c r="A39" s="162" t="s">
        <v>883</v>
      </c>
      <c r="B39" s="114"/>
      <c r="H39" s="162" t="s">
        <v>84</v>
      </c>
      <c r="I39" s="169" t="s">
        <v>33</v>
      </c>
      <c r="J39" s="182" t="s">
        <v>579</v>
      </c>
      <c r="K39" s="171" t="s">
        <v>578</v>
      </c>
      <c r="L39"/>
      <c r="M39" s="220" t="s">
        <v>336</v>
      </c>
      <c r="N39"/>
    </row>
    <row r="40" spans="1:17" ht="13.5" thickBot="1" x14ac:dyDescent="0.25">
      <c r="A40" s="392" t="s">
        <v>884</v>
      </c>
      <c r="B40" s="116" t="s">
        <v>522</v>
      </c>
      <c r="H40" s="173" t="s">
        <v>577</v>
      </c>
      <c r="I40" s="172" t="s">
        <v>575</v>
      </c>
      <c r="J40" s="173" t="s">
        <v>34</v>
      </c>
      <c r="K40" s="173" t="s">
        <v>101</v>
      </c>
      <c r="L40" s="246" t="s">
        <v>335</v>
      </c>
      <c r="M40" s="246" t="s">
        <v>900</v>
      </c>
      <c r="N40" s="246" t="s">
        <v>337</v>
      </c>
    </row>
    <row r="41" spans="1:17" ht="13.5" thickTop="1" x14ac:dyDescent="0.2">
      <c r="A41" s="185">
        <v>43151</v>
      </c>
      <c r="B41" s="117" t="s">
        <v>379</v>
      </c>
      <c r="H41" s="20" t="s">
        <v>1066</v>
      </c>
      <c r="I41" s="168"/>
      <c r="J41" s="19"/>
      <c r="K41" s="168">
        <f>+'NAGE &amp; Non-Union Wages'!I10</f>
        <v>70341</v>
      </c>
      <c r="L41" s="185">
        <v>43151</v>
      </c>
      <c r="M41">
        <v>3</v>
      </c>
    </row>
    <row r="42" spans="1:17" x14ac:dyDescent="0.2">
      <c r="A42" s="185">
        <v>36591</v>
      </c>
      <c r="B42" s="69" t="s">
        <v>1205</v>
      </c>
      <c r="H42" s="15" t="s">
        <v>1332</v>
      </c>
      <c r="I42" s="180">
        <f>+'NAGE &amp; Non-Union Wages'!L5</f>
        <v>22.14</v>
      </c>
      <c r="J42" s="19">
        <v>1828.5</v>
      </c>
      <c r="K42" s="168">
        <f>+ROUND((+I42*J42),2)</f>
        <v>40482.99</v>
      </c>
      <c r="L42" s="185">
        <v>36591</v>
      </c>
      <c r="M42">
        <v>21</v>
      </c>
      <c r="N42" s="1">
        <v>900</v>
      </c>
    </row>
    <row r="43" spans="1:17" x14ac:dyDescent="0.2">
      <c r="A43" s="4"/>
      <c r="B43" s="4"/>
      <c r="C43" s="25"/>
      <c r="D43" s="25"/>
      <c r="E43" s="25"/>
      <c r="H43" s="25"/>
      <c r="I43" s="25"/>
      <c r="J43" s="25"/>
      <c r="K43" s="29"/>
      <c r="L43" s="25"/>
      <c r="M43" s="25"/>
      <c r="N43" s="25"/>
      <c r="O43" s="29"/>
      <c r="P43" s="29"/>
      <c r="Q43" s="29"/>
    </row>
    <row r="44" spans="1:17" ht="13.5" thickBot="1" x14ac:dyDescent="0.25">
      <c r="A44" s="4"/>
      <c r="B44" s="4"/>
      <c r="C44" s="25"/>
      <c r="D44" s="25"/>
      <c r="E44" s="25"/>
      <c r="H44" s="25"/>
      <c r="I44" s="25"/>
      <c r="J44" s="25"/>
      <c r="K44" s="29"/>
      <c r="L44" s="25"/>
      <c r="M44" s="25"/>
      <c r="N44" s="25"/>
      <c r="O44" s="29"/>
      <c r="P44" s="29"/>
      <c r="Q44" s="29"/>
    </row>
    <row r="45" spans="1:17" ht="13.5" thickTop="1" x14ac:dyDescent="0.2">
      <c r="A45" s="517"/>
      <c r="B45" s="518"/>
      <c r="C45" s="519" t="s">
        <v>122</v>
      </c>
      <c r="D45" s="520" t="s">
        <v>122</v>
      </c>
      <c r="E45" s="520" t="s">
        <v>122</v>
      </c>
      <c r="H45" s="521" t="s">
        <v>542</v>
      </c>
      <c r="I45" s="522" t="s">
        <v>9</v>
      </c>
      <c r="J45" s="523" t="s">
        <v>1073</v>
      </c>
      <c r="K45" s="522" t="s">
        <v>682</v>
      </c>
      <c r="L45" s="524"/>
      <c r="M45" s="523"/>
      <c r="N45" s="25"/>
      <c r="O45" s="29"/>
      <c r="P45" s="29"/>
      <c r="Q45" s="29"/>
    </row>
    <row r="46" spans="1:17" ht="13.5" thickBot="1" x14ac:dyDescent="0.25">
      <c r="A46" s="525" t="s">
        <v>123</v>
      </c>
      <c r="B46" s="526"/>
      <c r="C46" s="527" t="s">
        <v>334</v>
      </c>
      <c r="D46" s="527" t="s">
        <v>718</v>
      </c>
      <c r="E46" s="528" t="s">
        <v>734</v>
      </c>
      <c r="H46" s="529" t="s">
        <v>899</v>
      </c>
      <c r="I46" s="529" t="s">
        <v>900</v>
      </c>
      <c r="J46" s="528" t="s">
        <v>1075</v>
      </c>
      <c r="K46" s="530" t="s">
        <v>1075</v>
      </c>
      <c r="L46" s="531" t="s">
        <v>1074</v>
      </c>
      <c r="M46" s="529"/>
      <c r="N46" s="25"/>
      <c r="O46" s="29"/>
      <c r="P46" s="29"/>
      <c r="Q46" s="29"/>
    </row>
    <row r="47" spans="1:17" ht="13.5" thickTop="1" x14ac:dyDescent="0.2">
      <c r="A47" s="557"/>
      <c r="B47" s="558"/>
      <c r="C47" s="559"/>
      <c r="D47" s="560"/>
      <c r="E47" s="560"/>
      <c r="H47" s="561"/>
      <c r="I47" s="534"/>
      <c r="J47" s="561"/>
      <c r="K47" s="559"/>
      <c r="L47" s="538"/>
      <c r="M47" s="539"/>
      <c r="N47" s="25"/>
      <c r="O47" s="29"/>
      <c r="P47" s="29"/>
      <c r="Q47" s="29"/>
    </row>
    <row r="48" spans="1:17" x14ac:dyDescent="0.2">
      <c r="A48" s="551">
        <v>5111</v>
      </c>
      <c r="B48" s="540" t="s">
        <v>683</v>
      </c>
      <c r="C48" s="544">
        <v>96122.44</v>
      </c>
      <c r="D48" s="544">
        <v>98465.76</v>
      </c>
      <c r="E48" s="544">
        <v>101448.58</v>
      </c>
      <c r="H48" s="543">
        <f>+J9</f>
        <v>108010</v>
      </c>
      <c r="I48" s="569">
        <f>+L9</f>
        <v>110824</v>
      </c>
      <c r="J48" s="539">
        <f t="shared" ref="J48:J65" si="5">+I48-H48</f>
        <v>2814</v>
      </c>
      <c r="K48" s="545">
        <f t="shared" ref="K48:K65" si="6">IF(H48+I48&lt;&gt;0,IF(H48&lt;&gt;0,IF(J48&lt;&gt;0,ROUND((+J48/H48),4),""),1),"")</f>
        <v>2.6100000000000002E-2</v>
      </c>
      <c r="L48" s="538"/>
      <c r="M48" s="539"/>
      <c r="N48" s="25"/>
      <c r="O48" s="29"/>
      <c r="P48" s="29"/>
      <c r="Q48" s="29"/>
    </row>
    <row r="49" spans="1:17" x14ac:dyDescent="0.2">
      <c r="A49" s="551">
        <v>5124</v>
      </c>
      <c r="B49" s="540" t="s">
        <v>180</v>
      </c>
      <c r="C49" s="544"/>
      <c r="D49" s="544"/>
      <c r="E49" s="544"/>
      <c r="H49" s="543">
        <f t="shared" ref="H49:H55" si="7">+J10</f>
        <v>0</v>
      </c>
      <c r="I49" s="569"/>
      <c r="J49" s="539">
        <f t="shared" si="5"/>
        <v>0</v>
      </c>
      <c r="K49" s="545" t="str">
        <f t="shared" si="6"/>
        <v/>
      </c>
      <c r="L49" s="538"/>
      <c r="M49" s="539"/>
      <c r="N49" s="25"/>
      <c r="O49" s="29"/>
      <c r="P49" s="29"/>
      <c r="Q49" s="29"/>
    </row>
    <row r="50" spans="1:17" x14ac:dyDescent="0.2">
      <c r="A50" s="551">
        <v>5140</v>
      </c>
      <c r="B50" s="540" t="s">
        <v>169</v>
      </c>
      <c r="C50" s="544">
        <v>324.72000000000003</v>
      </c>
      <c r="D50" s="544">
        <v>487.08</v>
      </c>
      <c r="E50" s="544">
        <v>162.36000000000001</v>
      </c>
      <c r="H50" s="543">
        <f t="shared" si="7"/>
        <v>1150</v>
      </c>
      <c r="I50" s="569">
        <f t="shared" ref="I50:I55" si="8">+L11</f>
        <v>900</v>
      </c>
      <c r="J50" s="539">
        <f t="shared" si="5"/>
        <v>-250</v>
      </c>
      <c r="K50" s="545">
        <f t="shared" si="6"/>
        <v>-0.21740000000000001</v>
      </c>
      <c r="L50" s="538"/>
      <c r="M50" s="539"/>
      <c r="N50" s="25"/>
      <c r="O50" s="29"/>
      <c r="P50" s="29"/>
      <c r="Q50" s="29"/>
    </row>
    <row r="51" spans="1:17" x14ac:dyDescent="0.2">
      <c r="A51" s="551">
        <v>5141</v>
      </c>
      <c r="B51" s="540" t="s">
        <v>170</v>
      </c>
      <c r="C51" s="544">
        <v>2976.6</v>
      </c>
      <c r="D51" s="544">
        <v>2408.34</v>
      </c>
      <c r="E51" s="544">
        <v>2841.3</v>
      </c>
      <c r="H51" s="543">
        <f t="shared" si="7"/>
        <v>4250</v>
      </c>
      <c r="I51" s="569">
        <f t="shared" si="8"/>
        <v>4250</v>
      </c>
      <c r="J51" s="539">
        <f t="shared" si="5"/>
        <v>0</v>
      </c>
      <c r="K51" s="545" t="str">
        <f t="shared" si="6"/>
        <v/>
      </c>
      <c r="L51" s="538"/>
      <c r="M51" s="539"/>
      <c r="N51" s="25"/>
      <c r="O51" s="29"/>
      <c r="P51" s="29"/>
      <c r="Q51" s="29"/>
    </row>
    <row r="52" spans="1:17" x14ac:dyDescent="0.2">
      <c r="A52" s="551">
        <v>5142</v>
      </c>
      <c r="B52" s="540" t="s">
        <v>174</v>
      </c>
      <c r="C52" s="544">
        <v>2516.58</v>
      </c>
      <c r="D52" s="544">
        <v>2570.6999999999998</v>
      </c>
      <c r="E52" s="544">
        <v>3220.14</v>
      </c>
      <c r="H52" s="543">
        <f t="shared" si="7"/>
        <v>4250</v>
      </c>
      <c r="I52" s="569">
        <f t="shared" si="8"/>
        <v>4250</v>
      </c>
      <c r="J52" s="539">
        <f t="shared" si="5"/>
        <v>0</v>
      </c>
      <c r="K52" s="545" t="str">
        <f t="shared" si="6"/>
        <v/>
      </c>
      <c r="L52" s="538"/>
      <c r="M52" s="539"/>
      <c r="N52" s="25"/>
      <c r="O52" s="29"/>
      <c r="P52" s="29"/>
      <c r="Q52" s="29"/>
    </row>
    <row r="53" spans="1:17" x14ac:dyDescent="0.2">
      <c r="A53" s="551">
        <v>5143</v>
      </c>
      <c r="B53" s="540" t="s">
        <v>176</v>
      </c>
      <c r="C53" s="544">
        <v>5412</v>
      </c>
      <c r="D53" s="544">
        <v>5709.66</v>
      </c>
      <c r="E53" s="544">
        <v>6332.04</v>
      </c>
      <c r="H53" s="543">
        <f t="shared" si="7"/>
        <v>10750</v>
      </c>
      <c r="I53" s="569">
        <f t="shared" si="8"/>
        <v>10750</v>
      </c>
      <c r="J53" s="539">
        <f t="shared" si="5"/>
        <v>0</v>
      </c>
      <c r="K53" s="545" t="str">
        <f t="shared" si="6"/>
        <v/>
      </c>
      <c r="L53" s="538"/>
      <c r="M53" s="539"/>
      <c r="N53" s="25"/>
      <c r="O53" s="29"/>
      <c r="P53" s="29"/>
      <c r="Q53" s="29"/>
    </row>
    <row r="54" spans="1:17" x14ac:dyDescent="0.2">
      <c r="A54" s="551">
        <v>5144</v>
      </c>
      <c r="B54" s="540" t="s">
        <v>152</v>
      </c>
      <c r="C54" s="546">
        <v>600</v>
      </c>
      <c r="D54" s="546">
        <v>450</v>
      </c>
      <c r="E54" s="546">
        <v>500</v>
      </c>
      <c r="H54" s="543">
        <f t="shared" si="7"/>
        <v>900</v>
      </c>
      <c r="I54" s="569">
        <f t="shared" si="8"/>
        <v>900</v>
      </c>
      <c r="J54" s="539">
        <f t="shared" si="5"/>
        <v>0</v>
      </c>
      <c r="K54" s="545" t="str">
        <f t="shared" si="6"/>
        <v/>
      </c>
      <c r="L54" s="538"/>
      <c r="M54" s="539"/>
      <c r="N54" s="25"/>
      <c r="O54" s="29"/>
      <c r="P54" s="29"/>
      <c r="Q54" s="29"/>
    </row>
    <row r="55" spans="1:17" ht="13.5" thickBot="1" x14ac:dyDescent="0.25">
      <c r="A55" s="551">
        <v>5145</v>
      </c>
      <c r="B55" s="540" t="s">
        <v>597</v>
      </c>
      <c r="C55" s="542">
        <v>300.04000000000002</v>
      </c>
      <c r="D55" s="542">
        <v>300.04000000000002</v>
      </c>
      <c r="E55" s="542">
        <v>300.04000000000002</v>
      </c>
      <c r="H55" s="543">
        <f t="shared" si="7"/>
        <v>300</v>
      </c>
      <c r="I55" s="569">
        <f t="shared" si="8"/>
        <v>300</v>
      </c>
      <c r="J55" s="539">
        <f t="shared" si="5"/>
        <v>0</v>
      </c>
      <c r="K55" s="545" t="str">
        <f t="shared" si="6"/>
        <v/>
      </c>
      <c r="L55" s="538"/>
      <c r="M55" s="539"/>
      <c r="N55" s="25"/>
      <c r="O55" s="29"/>
      <c r="P55" s="29"/>
      <c r="Q55" s="29"/>
    </row>
    <row r="56" spans="1:17" x14ac:dyDescent="0.2">
      <c r="A56" s="551">
        <v>5314</v>
      </c>
      <c r="B56" s="540" t="s">
        <v>134</v>
      </c>
      <c r="C56" s="544">
        <v>505</v>
      </c>
      <c r="D56" s="544">
        <v>769</v>
      </c>
      <c r="E56" s="544">
        <v>570</v>
      </c>
      <c r="H56" s="537">
        <f>+J22</f>
        <v>800</v>
      </c>
      <c r="I56" s="569">
        <f t="shared" ref="I56:I65" si="9">+L22</f>
        <v>800</v>
      </c>
      <c r="J56" s="539">
        <f t="shared" si="5"/>
        <v>0</v>
      </c>
      <c r="K56" s="545" t="str">
        <f t="shared" si="6"/>
        <v/>
      </c>
      <c r="L56" s="538"/>
      <c r="M56" s="539"/>
      <c r="N56" s="25"/>
      <c r="O56" s="29"/>
      <c r="P56" s="29"/>
      <c r="Q56" s="29"/>
    </row>
    <row r="57" spans="1:17" x14ac:dyDescent="0.2">
      <c r="A57" s="551">
        <v>5341</v>
      </c>
      <c r="B57" s="540" t="s">
        <v>1129</v>
      </c>
      <c r="C57" s="544">
        <v>413.7</v>
      </c>
      <c r="D57" s="544">
        <v>409.63</v>
      </c>
      <c r="E57" s="544">
        <v>412.4</v>
      </c>
      <c r="H57" s="537">
        <f t="shared" ref="H57:H65" si="10">+J23</f>
        <v>960</v>
      </c>
      <c r="I57" s="569">
        <f t="shared" si="9"/>
        <v>960</v>
      </c>
      <c r="J57" s="539">
        <f t="shared" si="5"/>
        <v>0</v>
      </c>
      <c r="K57" s="545" t="str">
        <f t="shared" si="6"/>
        <v/>
      </c>
      <c r="L57" s="538"/>
      <c r="M57" s="539"/>
      <c r="N57" s="25"/>
      <c r="O57" s="29"/>
      <c r="P57" s="29"/>
      <c r="Q57" s="29"/>
    </row>
    <row r="58" spans="1:17" x14ac:dyDescent="0.2">
      <c r="A58" s="551">
        <v>5344</v>
      </c>
      <c r="B58" s="540" t="s">
        <v>137</v>
      </c>
      <c r="C58" s="544">
        <v>219.02</v>
      </c>
      <c r="D58" s="544">
        <v>243.85</v>
      </c>
      <c r="E58" s="544">
        <v>244.23</v>
      </c>
      <c r="H58" s="537">
        <f t="shared" si="10"/>
        <v>250</v>
      </c>
      <c r="I58" s="569">
        <f t="shared" si="9"/>
        <v>250</v>
      </c>
      <c r="J58" s="539">
        <f t="shared" si="5"/>
        <v>0</v>
      </c>
      <c r="K58" s="545" t="str">
        <f t="shared" si="6"/>
        <v/>
      </c>
      <c r="L58" s="538"/>
      <c r="M58" s="539"/>
      <c r="N58" s="25"/>
      <c r="O58" s="29"/>
      <c r="P58" s="29"/>
      <c r="Q58" s="29"/>
    </row>
    <row r="59" spans="1:17" x14ac:dyDescent="0.2">
      <c r="A59" s="551">
        <v>5345</v>
      </c>
      <c r="B59" s="540" t="s">
        <v>138</v>
      </c>
      <c r="C59" s="544"/>
      <c r="D59" s="544"/>
      <c r="E59" s="544"/>
      <c r="H59" s="537">
        <f t="shared" si="10"/>
        <v>0</v>
      </c>
      <c r="I59" s="569">
        <f t="shared" si="9"/>
        <v>0</v>
      </c>
      <c r="J59" s="539">
        <f t="shared" si="5"/>
        <v>0</v>
      </c>
      <c r="K59" s="545" t="str">
        <f t="shared" si="6"/>
        <v/>
      </c>
      <c r="L59" s="538"/>
      <c r="M59" s="539"/>
      <c r="N59" s="25"/>
      <c r="O59" s="29"/>
      <c r="P59" s="29"/>
      <c r="Q59" s="29"/>
    </row>
    <row r="60" spans="1:17" x14ac:dyDescent="0.2">
      <c r="A60" s="551">
        <v>5350</v>
      </c>
      <c r="B60" s="540" t="s">
        <v>1252</v>
      </c>
      <c r="C60" s="544">
        <v>409.8</v>
      </c>
      <c r="D60" s="544">
        <v>757.31</v>
      </c>
      <c r="E60" s="544">
        <v>467.68</v>
      </c>
      <c r="H60" s="537">
        <f t="shared" si="10"/>
        <v>6000</v>
      </c>
      <c r="I60" s="569">
        <f t="shared" si="9"/>
        <v>4500</v>
      </c>
      <c r="J60" s="539">
        <f t="shared" si="5"/>
        <v>-1500</v>
      </c>
      <c r="K60" s="545">
        <f t="shared" si="6"/>
        <v>-0.25</v>
      </c>
      <c r="L60" s="538" t="s">
        <v>1487</v>
      </c>
      <c r="M60" s="539"/>
      <c r="N60" s="25"/>
      <c r="O60" s="29"/>
      <c r="P60" s="29"/>
      <c r="Q60" s="29"/>
    </row>
    <row r="61" spans="1:17" x14ac:dyDescent="0.2">
      <c r="A61" s="551">
        <v>5420</v>
      </c>
      <c r="B61" s="540" t="s">
        <v>139</v>
      </c>
      <c r="C61" s="544"/>
      <c r="D61" s="544"/>
      <c r="E61" s="544"/>
      <c r="H61" s="537">
        <f t="shared" si="10"/>
        <v>700</v>
      </c>
      <c r="I61" s="569">
        <f t="shared" si="9"/>
        <v>700</v>
      </c>
      <c r="J61" s="539">
        <f t="shared" si="5"/>
        <v>0</v>
      </c>
      <c r="K61" s="545" t="str">
        <f t="shared" si="6"/>
        <v/>
      </c>
      <c r="L61" s="538"/>
      <c r="M61" s="539"/>
      <c r="N61" s="25"/>
      <c r="O61" s="29"/>
      <c r="P61" s="29"/>
      <c r="Q61" s="29"/>
    </row>
    <row r="62" spans="1:17" x14ac:dyDescent="0.2">
      <c r="A62" s="551">
        <v>5581</v>
      </c>
      <c r="B62" s="540" t="s">
        <v>141</v>
      </c>
      <c r="C62" s="570"/>
      <c r="D62" s="544">
        <v>0</v>
      </c>
      <c r="E62" s="544"/>
      <c r="H62" s="537">
        <f t="shared" si="10"/>
        <v>400</v>
      </c>
      <c r="I62" s="569">
        <f t="shared" si="9"/>
        <v>400</v>
      </c>
      <c r="J62" s="539">
        <f t="shared" si="5"/>
        <v>0</v>
      </c>
      <c r="K62" s="545" t="str">
        <f t="shared" si="6"/>
        <v/>
      </c>
      <c r="L62" s="538"/>
      <c r="M62" s="539"/>
      <c r="N62" s="25"/>
      <c r="O62" s="29"/>
      <c r="P62" s="29"/>
      <c r="Q62" s="29"/>
    </row>
    <row r="63" spans="1:17" x14ac:dyDescent="0.2">
      <c r="A63" s="551">
        <v>5590</v>
      </c>
      <c r="B63" s="540" t="s">
        <v>1128</v>
      </c>
      <c r="C63" s="536">
        <v>1845.47</v>
      </c>
      <c r="D63" s="536">
        <v>1812.25</v>
      </c>
      <c r="E63" s="536">
        <v>1758.79</v>
      </c>
      <c r="H63" s="537">
        <f t="shared" si="10"/>
        <v>0</v>
      </c>
      <c r="I63" s="569">
        <f t="shared" si="9"/>
        <v>0</v>
      </c>
      <c r="J63" s="539">
        <f t="shared" si="5"/>
        <v>0</v>
      </c>
      <c r="K63" s="545" t="str">
        <f t="shared" si="6"/>
        <v/>
      </c>
      <c r="L63" s="538"/>
      <c r="M63" s="539"/>
      <c r="N63" s="25"/>
      <c r="O63" s="4"/>
      <c r="P63" s="4"/>
      <c r="Q63" s="4"/>
    </row>
    <row r="64" spans="1:17" ht="13.5" thickBot="1" x14ac:dyDescent="0.25">
      <c r="A64" s="551">
        <v>5710</v>
      </c>
      <c r="B64" s="540" t="s">
        <v>128</v>
      </c>
      <c r="C64" s="542">
        <v>80</v>
      </c>
      <c r="D64" s="542">
        <v>80</v>
      </c>
      <c r="E64" s="542">
        <v>80</v>
      </c>
      <c r="H64" s="537">
        <f t="shared" si="10"/>
        <v>1200</v>
      </c>
      <c r="I64" s="569">
        <f t="shared" si="9"/>
        <v>1200</v>
      </c>
      <c r="J64" s="539">
        <f t="shared" si="5"/>
        <v>0</v>
      </c>
      <c r="K64" s="545" t="str">
        <f t="shared" si="6"/>
        <v/>
      </c>
      <c r="L64" s="538"/>
      <c r="M64" s="539"/>
      <c r="N64" s="25"/>
      <c r="O64" s="4"/>
      <c r="P64" s="4"/>
      <c r="Q64" s="4"/>
    </row>
    <row r="65" spans="1:17" x14ac:dyDescent="0.2">
      <c r="A65" s="551">
        <v>5730</v>
      </c>
      <c r="B65" s="540" t="s">
        <v>142</v>
      </c>
      <c r="C65" s="25"/>
      <c r="D65" s="25"/>
      <c r="E65" s="25"/>
      <c r="F65" s="25"/>
      <c r="H65" s="537">
        <f t="shared" si="10"/>
        <v>160</v>
      </c>
      <c r="I65" s="569">
        <f t="shared" si="9"/>
        <v>160</v>
      </c>
      <c r="J65" s="539">
        <f t="shared" si="5"/>
        <v>0</v>
      </c>
      <c r="K65" s="545" t="str">
        <f t="shared" si="6"/>
        <v/>
      </c>
      <c r="L65" s="538"/>
      <c r="M65" s="539"/>
      <c r="N65" s="25"/>
      <c r="O65" s="4"/>
      <c r="P65" s="4"/>
      <c r="Q65" s="4"/>
    </row>
    <row r="66" spans="1:17" x14ac:dyDescent="0.2">
      <c r="A66" s="4"/>
      <c r="B66" s="4"/>
      <c r="C66" s="25"/>
      <c r="D66" s="25"/>
      <c r="E66" s="25"/>
      <c r="F66" s="25"/>
      <c r="G66" s="25"/>
      <c r="H66" s="25"/>
      <c r="I66" s="25"/>
      <c r="J66" s="25"/>
      <c r="K66" s="4"/>
      <c r="L66" s="25"/>
      <c r="M66" s="25"/>
      <c r="N66" s="25"/>
      <c r="O66" s="4"/>
      <c r="P66" s="4"/>
      <c r="Q66" s="4"/>
    </row>
    <row r="67" spans="1:17" x14ac:dyDescent="0.2">
      <c r="A67" s="4"/>
      <c r="B67" s="4" t="s">
        <v>1600</v>
      </c>
      <c r="C67" s="25"/>
      <c r="D67" s="25"/>
      <c r="E67" s="25"/>
      <c r="F67" s="25"/>
      <c r="G67" s="25"/>
      <c r="H67" s="849">
        <f>SUM(H48:H65)</f>
        <v>140080</v>
      </c>
      <c r="I67" s="849">
        <f>SUM(I48:I65)</f>
        <v>141144</v>
      </c>
      <c r="J67" s="208">
        <f t="shared" ref="J67" si="11">+I67-H67</f>
        <v>1064</v>
      </c>
      <c r="K67" s="850">
        <f t="shared" ref="K67" si="12">IF(H67+I67&lt;&gt;0,IF(H67&lt;&gt;0,IF(J67&lt;&gt;0,ROUND((+J67/H67),4),""),1),"")</f>
        <v>7.6E-3</v>
      </c>
      <c r="L67" s="25"/>
      <c r="M67" s="25"/>
      <c r="N67" s="25"/>
      <c r="O67" s="4"/>
      <c r="P67" s="4"/>
      <c r="Q67" s="4"/>
    </row>
    <row r="68" spans="1:17" x14ac:dyDescent="0.2">
      <c r="A68" s="4"/>
      <c r="B68" s="4"/>
      <c r="C68" s="25"/>
      <c r="D68" s="25"/>
      <c r="E68" s="25"/>
      <c r="F68" s="25"/>
      <c r="G68" s="25"/>
      <c r="H68" s="25"/>
      <c r="I68" s="25"/>
      <c r="J68" s="25"/>
      <c r="K68" s="4"/>
      <c r="L68" s="25"/>
      <c r="M68" s="25"/>
      <c r="N68" s="25"/>
      <c r="O68" s="4"/>
      <c r="P68" s="4"/>
      <c r="Q68" s="4"/>
    </row>
    <row r="69" spans="1:17" x14ac:dyDescent="0.2">
      <c r="A69" s="4"/>
      <c r="B69" s="4"/>
      <c r="C69" s="25"/>
      <c r="D69" s="25"/>
      <c r="E69" s="25"/>
      <c r="F69" s="25"/>
      <c r="G69" s="25"/>
      <c r="H69" s="25"/>
      <c r="I69" s="25"/>
      <c r="J69" s="25"/>
      <c r="K69" s="4"/>
      <c r="L69" s="25"/>
      <c r="M69" s="25"/>
      <c r="N69" s="25"/>
      <c r="O69" s="4"/>
      <c r="P69" s="4"/>
      <c r="Q69" s="4"/>
    </row>
    <row r="70" spans="1:17" x14ac:dyDescent="0.2">
      <c r="A70" s="4"/>
      <c r="B70" s="4"/>
      <c r="C70" s="25"/>
      <c r="D70" s="25"/>
      <c r="E70" s="25"/>
      <c r="F70" s="25"/>
      <c r="G70" s="25"/>
      <c r="H70" s="25"/>
      <c r="I70" s="25"/>
      <c r="J70" s="25"/>
      <c r="K70" s="4"/>
      <c r="L70" s="25"/>
      <c r="M70" s="25"/>
      <c r="N70" s="25"/>
      <c r="O70" s="4"/>
      <c r="P70" s="4"/>
      <c r="Q70" s="4"/>
    </row>
    <row r="71" spans="1:17" x14ac:dyDescent="0.2">
      <c r="A71" s="4"/>
      <c r="B71" s="4"/>
      <c r="C71" s="25"/>
      <c r="D71" s="25"/>
      <c r="E71" s="25"/>
      <c r="F71" s="25"/>
      <c r="G71" s="25"/>
      <c r="H71" s="25"/>
      <c r="I71" s="25"/>
      <c r="J71" s="25"/>
      <c r="K71" s="4"/>
      <c r="L71" s="25"/>
      <c r="M71" s="25"/>
      <c r="N71" s="25"/>
      <c r="O71" s="4"/>
      <c r="P71" s="4"/>
      <c r="Q71" s="4"/>
    </row>
    <row r="72" spans="1:17" x14ac:dyDescent="0.2">
      <c r="A72" s="4"/>
      <c r="B72" s="4"/>
      <c r="C72" s="25"/>
      <c r="D72" s="25"/>
      <c r="E72" s="25"/>
      <c r="F72" s="25"/>
      <c r="G72" s="25"/>
      <c r="H72" s="25"/>
      <c r="I72" s="25"/>
      <c r="J72" s="25"/>
      <c r="K72" s="4"/>
      <c r="L72" s="25"/>
      <c r="M72" s="25"/>
      <c r="N72" s="25"/>
      <c r="O72" s="4"/>
      <c r="P72" s="4"/>
      <c r="Q72" s="4"/>
    </row>
    <row r="73" spans="1:17" x14ac:dyDescent="0.2">
      <c r="A73" s="4"/>
      <c r="B73" s="4"/>
      <c r="C73" s="25"/>
      <c r="D73" s="25"/>
      <c r="E73" s="25"/>
      <c r="F73" s="25"/>
      <c r="G73" s="25"/>
      <c r="H73" s="25"/>
      <c r="I73" s="25"/>
      <c r="J73" s="25"/>
      <c r="K73" s="4"/>
      <c r="L73" s="25"/>
      <c r="M73" s="25"/>
      <c r="N73" s="25"/>
      <c r="O73" s="4"/>
      <c r="P73" s="4"/>
      <c r="Q73" s="4"/>
    </row>
    <row r="74" spans="1:17" x14ac:dyDescent="0.2">
      <c r="A74" s="4"/>
      <c r="B74" s="4"/>
      <c r="C74" s="25"/>
      <c r="D74" s="25"/>
      <c r="E74" s="25"/>
      <c r="F74" s="25"/>
      <c r="G74" s="25"/>
      <c r="H74" s="25"/>
      <c r="I74" s="25"/>
      <c r="J74" s="25"/>
      <c r="K74" s="4"/>
      <c r="L74" s="25"/>
      <c r="M74" s="25"/>
      <c r="N74" s="25"/>
      <c r="O74" s="4"/>
      <c r="P74" s="4"/>
      <c r="Q74" s="4"/>
    </row>
    <row r="75" spans="1:17" x14ac:dyDescent="0.2">
      <c r="A75" s="4"/>
      <c r="B75" s="4"/>
      <c r="C75" s="25"/>
      <c r="D75" s="25"/>
      <c r="E75" s="25"/>
      <c r="F75" s="25"/>
      <c r="G75" s="25"/>
      <c r="H75" s="25"/>
      <c r="I75" s="25"/>
      <c r="J75" s="25"/>
      <c r="K75" s="4"/>
      <c r="L75" s="25"/>
      <c r="M75" s="25"/>
      <c r="N75" s="25"/>
      <c r="O75" s="4"/>
      <c r="P75" s="4"/>
      <c r="Q75" s="4"/>
    </row>
    <row r="76" spans="1:17" x14ac:dyDescent="0.2">
      <c r="A76" s="4"/>
      <c r="B76" s="4"/>
      <c r="C76" s="25"/>
      <c r="D76" s="25"/>
      <c r="E76" s="25"/>
      <c r="F76" s="25"/>
      <c r="G76" s="25"/>
      <c r="H76" s="25"/>
      <c r="I76" s="25"/>
      <c r="J76" s="25"/>
      <c r="K76" s="4"/>
      <c r="L76" s="25"/>
      <c r="M76" s="25"/>
      <c r="N76" s="25"/>
      <c r="O76" s="4"/>
      <c r="P76" s="4"/>
      <c r="Q76" s="4"/>
    </row>
    <row r="77" spans="1:17" x14ac:dyDescent="0.2">
      <c r="A77" s="4"/>
      <c r="B77" s="4"/>
      <c r="C77" s="25"/>
      <c r="D77" s="25"/>
      <c r="E77" s="25"/>
      <c r="F77" s="25"/>
      <c r="G77" s="25"/>
      <c r="H77" s="25"/>
      <c r="I77" s="25"/>
      <c r="J77" s="25"/>
      <c r="K77" s="4"/>
      <c r="L77" s="25"/>
      <c r="M77" s="25"/>
      <c r="N77" s="25"/>
      <c r="O77" s="4"/>
      <c r="P77" s="4"/>
      <c r="Q77" s="4"/>
    </row>
    <row r="78" spans="1:17" x14ac:dyDescent="0.2">
      <c r="A78" s="4"/>
      <c r="B78" s="4"/>
      <c r="C78" s="25"/>
      <c r="D78" s="25"/>
      <c r="E78" s="25"/>
      <c r="F78" s="25"/>
      <c r="G78" s="25"/>
      <c r="H78" s="25"/>
      <c r="I78" s="25"/>
      <c r="J78" s="25"/>
      <c r="K78" s="4"/>
      <c r="L78" s="25"/>
      <c r="M78" s="25"/>
      <c r="N78" s="25"/>
      <c r="O78" s="4"/>
      <c r="P78" s="4"/>
      <c r="Q78" s="4"/>
    </row>
    <row r="79" spans="1:17" x14ac:dyDescent="0.2">
      <c r="A79" s="4"/>
      <c r="B79" s="4"/>
      <c r="C79" s="25"/>
      <c r="D79" s="25"/>
      <c r="E79" s="25"/>
      <c r="F79" s="25"/>
      <c r="G79" s="25"/>
      <c r="H79" s="25"/>
      <c r="I79" s="25"/>
      <c r="J79" s="25"/>
      <c r="K79" s="4"/>
      <c r="L79" s="25"/>
      <c r="M79" s="25"/>
      <c r="N79" s="25"/>
      <c r="O79" s="4"/>
      <c r="P79" s="4"/>
      <c r="Q79" s="4"/>
    </row>
    <row r="80" spans="1:17" x14ac:dyDescent="0.2">
      <c r="A80" s="4"/>
      <c r="B80" s="4"/>
      <c r="C80" s="25"/>
      <c r="D80" s="25"/>
      <c r="E80" s="25"/>
      <c r="F80" s="25"/>
      <c r="G80" s="25"/>
      <c r="H80" s="25"/>
      <c r="I80" s="25"/>
      <c r="J80" s="25"/>
      <c r="K80" s="4"/>
      <c r="L80" s="25"/>
      <c r="M80" s="25"/>
      <c r="N80" s="25"/>
      <c r="O80" s="4"/>
      <c r="P80" s="4"/>
      <c r="Q80" s="4"/>
    </row>
    <row r="81" spans="1:17" x14ac:dyDescent="0.2">
      <c r="A81" s="4"/>
      <c r="B81" s="4"/>
      <c r="C81" s="25"/>
      <c r="D81" s="25"/>
      <c r="E81" s="25"/>
      <c r="F81" s="25"/>
      <c r="G81" s="25"/>
      <c r="H81" s="25"/>
      <c r="I81" s="25"/>
      <c r="J81" s="25"/>
      <c r="K81" s="4"/>
      <c r="L81" s="25"/>
      <c r="M81" s="25"/>
      <c r="N81" s="25"/>
      <c r="O81" s="4"/>
      <c r="P81" s="4"/>
      <c r="Q81" s="4"/>
    </row>
    <row r="82" spans="1:17" x14ac:dyDescent="0.2">
      <c r="A82" s="4"/>
      <c r="B82" s="4"/>
      <c r="C82" s="25"/>
      <c r="D82" s="25"/>
      <c r="E82" s="25"/>
      <c r="F82" s="25"/>
      <c r="G82" s="25"/>
      <c r="H82" s="25"/>
      <c r="I82" s="25"/>
      <c r="J82" s="25"/>
      <c r="K82" s="4"/>
      <c r="L82" s="25"/>
      <c r="M82" s="25"/>
      <c r="N82" s="25"/>
      <c r="O82" s="4"/>
      <c r="P82" s="4"/>
      <c r="Q82" s="4"/>
    </row>
    <row r="83" spans="1:17" x14ac:dyDescent="0.2">
      <c r="A83" s="4"/>
      <c r="B83" s="4"/>
      <c r="C83" s="25"/>
      <c r="D83" s="25"/>
      <c r="E83" s="25"/>
      <c r="F83" s="25"/>
      <c r="G83" s="25"/>
      <c r="H83" s="25"/>
      <c r="I83" s="25"/>
      <c r="J83" s="25"/>
      <c r="K83" s="4"/>
      <c r="L83" s="25"/>
      <c r="M83" s="25"/>
      <c r="N83" s="25"/>
      <c r="O83" s="4"/>
      <c r="P83" s="4"/>
      <c r="Q83" s="4"/>
    </row>
    <row r="84" spans="1:17" x14ac:dyDescent="0.2">
      <c r="A84" s="4"/>
      <c r="B84" s="4"/>
      <c r="C84" s="25"/>
      <c r="D84" s="25"/>
      <c r="E84" s="25"/>
      <c r="F84" s="25"/>
      <c r="G84" s="25"/>
      <c r="H84" s="25"/>
      <c r="I84" s="25"/>
      <c r="J84" s="25"/>
      <c r="K84" s="4"/>
      <c r="L84" s="25"/>
      <c r="M84" s="25"/>
      <c r="N84" s="25"/>
      <c r="O84" s="4"/>
      <c r="P84" s="4"/>
      <c r="Q84" s="4"/>
    </row>
    <row r="85" spans="1:17" x14ac:dyDescent="0.2">
      <c r="A85" s="4"/>
      <c r="B85" s="4"/>
      <c r="C85" s="25"/>
      <c r="D85" s="25"/>
      <c r="E85" s="25"/>
      <c r="F85" s="25"/>
      <c r="G85" s="25"/>
      <c r="H85" s="25"/>
      <c r="I85" s="25"/>
      <c r="J85" s="25"/>
      <c r="K85" s="4"/>
      <c r="L85" s="25"/>
      <c r="M85" s="25"/>
      <c r="N85" s="25"/>
      <c r="O85" s="4"/>
      <c r="P85" s="4"/>
      <c r="Q85" s="4"/>
    </row>
    <row r="86" spans="1:17" x14ac:dyDescent="0.2">
      <c r="A86" s="4"/>
      <c r="B86" s="4"/>
      <c r="C86" s="25"/>
      <c r="D86" s="25"/>
      <c r="E86" s="25"/>
      <c r="F86" s="25"/>
      <c r="G86" s="25"/>
      <c r="H86" s="25"/>
      <c r="I86" s="25"/>
      <c r="J86" s="25"/>
      <c r="K86" s="4"/>
      <c r="L86" s="25"/>
      <c r="M86" s="25"/>
      <c r="N86" s="25"/>
      <c r="O86" s="4"/>
      <c r="P86" s="4"/>
      <c r="Q86" s="4"/>
    </row>
    <row r="87" spans="1:17" x14ac:dyDescent="0.2">
      <c r="A87" s="4"/>
      <c r="B87" s="4"/>
      <c r="C87" s="25"/>
      <c r="D87" s="25"/>
      <c r="E87" s="25"/>
      <c r="F87" s="25"/>
      <c r="G87" s="25"/>
      <c r="H87" s="25"/>
      <c r="I87" s="25"/>
      <c r="J87" s="25"/>
      <c r="K87" s="4"/>
      <c r="L87" s="25"/>
      <c r="M87" s="25"/>
      <c r="N87" s="25"/>
      <c r="O87" s="4"/>
      <c r="P87" s="4"/>
      <c r="Q87" s="4"/>
    </row>
    <row r="88" spans="1:17" x14ac:dyDescent="0.2">
      <c r="A88" s="4"/>
      <c r="B88" s="4"/>
      <c r="C88" s="25"/>
      <c r="D88" s="25"/>
      <c r="E88" s="25"/>
      <c r="F88" s="25"/>
      <c r="G88" s="25"/>
      <c r="H88" s="25"/>
      <c r="I88" s="25"/>
      <c r="J88" s="25"/>
      <c r="K88" s="4"/>
      <c r="L88" s="25"/>
      <c r="M88" s="25"/>
      <c r="N88" s="25"/>
      <c r="O88" s="4"/>
      <c r="P88" s="4"/>
      <c r="Q88" s="4"/>
    </row>
    <row r="89" spans="1:17" x14ac:dyDescent="0.2">
      <c r="A89" s="4"/>
      <c r="B89" s="4"/>
      <c r="C89" s="25"/>
      <c r="D89" s="25"/>
      <c r="E89" s="25"/>
      <c r="F89" s="25"/>
      <c r="G89" s="25"/>
      <c r="H89" s="25"/>
      <c r="I89" s="25"/>
      <c r="J89" s="25"/>
      <c r="K89" s="4"/>
      <c r="L89" s="25"/>
      <c r="M89" s="25"/>
      <c r="N89" s="25"/>
      <c r="O89" s="4"/>
      <c r="P89" s="4"/>
      <c r="Q89" s="4"/>
    </row>
    <row r="90" spans="1:17" x14ac:dyDescent="0.2">
      <c r="A90" s="4"/>
      <c r="B90" s="4"/>
      <c r="C90" s="25"/>
      <c r="D90" s="25"/>
      <c r="E90" s="25"/>
      <c r="F90" s="25"/>
      <c r="G90" s="25"/>
      <c r="H90" s="25"/>
      <c r="I90" s="25"/>
      <c r="J90" s="25"/>
      <c r="K90" s="4"/>
      <c r="L90" s="25"/>
      <c r="M90" s="25"/>
      <c r="N90" s="25"/>
      <c r="O90" s="4"/>
      <c r="P90" s="4"/>
      <c r="Q90" s="4"/>
    </row>
    <row r="91" spans="1:17" x14ac:dyDescent="0.2">
      <c r="A91" s="4"/>
      <c r="B91" s="4"/>
      <c r="C91" s="25"/>
      <c r="D91" s="25"/>
      <c r="E91" s="25"/>
      <c r="F91" s="25"/>
      <c r="G91" s="25"/>
      <c r="H91" s="25"/>
      <c r="I91" s="25"/>
      <c r="J91" s="25"/>
      <c r="K91" s="4"/>
      <c r="L91" s="25"/>
      <c r="M91" s="25"/>
      <c r="N91" s="25"/>
      <c r="O91" s="4"/>
      <c r="P91" s="4"/>
      <c r="Q91" s="4"/>
    </row>
    <row r="92" spans="1:17" x14ac:dyDescent="0.2">
      <c r="A92" s="4"/>
      <c r="B92" s="4"/>
      <c r="C92" s="25"/>
      <c r="D92" s="25"/>
      <c r="E92" s="25"/>
      <c r="F92" s="25"/>
      <c r="G92" s="25"/>
      <c r="H92" s="25"/>
      <c r="I92" s="25"/>
      <c r="J92" s="25"/>
      <c r="K92" s="4"/>
      <c r="L92" s="25"/>
      <c r="M92" s="25"/>
      <c r="N92" s="25"/>
      <c r="O92" s="4"/>
      <c r="P92" s="4"/>
      <c r="Q92" s="4"/>
    </row>
    <row r="93" spans="1:17" x14ac:dyDescent="0.2">
      <c r="A93" s="4"/>
      <c r="B93" s="4"/>
      <c r="C93" s="25"/>
      <c r="D93" s="25"/>
      <c r="E93" s="25"/>
      <c r="F93" s="25"/>
      <c r="G93" s="25"/>
      <c r="H93" s="25"/>
      <c r="I93" s="25"/>
      <c r="J93" s="25"/>
      <c r="K93" s="4"/>
      <c r="L93" s="25"/>
      <c r="M93" s="25"/>
      <c r="N93" s="25"/>
      <c r="O93" s="4"/>
      <c r="P93" s="4"/>
      <c r="Q93" s="4"/>
    </row>
    <row r="94" spans="1:17" x14ac:dyDescent="0.2">
      <c r="A94" s="4"/>
      <c r="B94" s="4"/>
      <c r="C94" s="25"/>
      <c r="D94" s="25"/>
      <c r="E94" s="25"/>
      <c r="F94" s="25"/>
      <c r="G94" s="25"/>
      <c r="H94" s="25"/>
      <c r="I94" s="25"/>
      <c r="J94" s="25"/>
      <c r="K94" s="4"/>
      <c r="L94" s="25"/>
      <c r="M94" s="25"/>
      <c r="N94" s="25"/>
      <c r="O94" s="4"/>
      <c r="P94" s="4"/>
      <c r="Q94" s="4"/>
    </row>
    <row r="95" spans="1:17" x14ac:dyDescent="0.2">
      <c r="A95" s="4"/>
      <c r="B95" s="4"/>
      <c r="C95" s="25"/>
      <c r="D95" s="25"/>
      <c r="E95" s="25"/>
      <c r="F95" s="25"/>
      <c r="G95" s="25"/>
      <c r="H95" s="25"/>
      <c r="I95" s="25"/>
      <c r="J95" s="25"/>
      <c r="K95" s="4"/>
      <c r="L95" s="25"/>
      <c r="M95" s="25"/>
      <c r="N95" s="25"/>
      <c r="O95" s="4"/>
      <c r="P95" s="4"/>
      <c r="Q95" s="4"/>
    </row>
    <row r="96" spans="1:17" x14ac:dyDescent="0.2">
      <c r="A96" s="4"/>
      <c r="B96" s="4"/>
      <c r="C96" s="25"/>
      <c r="D96" s="25"/>
      <c r="E96" s="25"/>
      <c r="F96" s="25"/>
      <c r="G96" s="25"/>
      <c r="H96" s="25"/>
      <c r="I96" s="25"/>
      <c r="J96" s="25"/>
      <c r="K96" s="4"/>
      <c r="L96" s="25"/>
      <c r="M96" s="25"/>
      <c r="N96" s="25"/>
      <c r="O96" s="4"/>
      <c r="P96" s="4"/>
      <c r="Q96" s="4"/>
    </row>
    <row r="97" spans="1:17" x14ac:dyDescent="0.2">
      <c r="A97" s="4"/>
      <c r="B97" s="4"/>
      <c r="C97" s="25"/>
      <c r="D97" s="25"/>
      <c r="E97" s="25"/>
      <c r="F97" s="25"/>
      <c r="G97" s="25"/>
      <c r="H97" s="25"/>
      <c r="I97" s="25"/>
      <c r="J97" s="25"/>
      <c r="K97" s="4"/>
      <c r="L97" s="25"/>
      <c r="M97" s="25"/>
      <c r="N97" s="25"/>
      <c r="O97" s="4"/>
      <c r="P97" s="4"/>
      <c r="Q97" s="4"/>
    </row>
    <row r="98" spans="1:17" x14ac:dyDescent="0.2">
      <c r="A98" s="4"/>
      <c r="B98" s="4"/>
      <c r="C98" s="25"/>
      <c r="D98" s="25"/>
      <c r="E98" s="25"/>
      <c r="F98" s="25"/>
      <c r="G98" s="25"/>
      <c r="H98" s="25"/>
      <c r="I98" s="25"/>
      <c r="J98" s="25"/>
      <c r="K98" s="4"/>
      <c r="L98" s="25"/>
      <c r="M98" s="25"/>
      <c r="N98" s="25"/>
      <c r="O98" s="4"/>
      <c r="P98" s="4"/>
      <c r="Q98" s="4"/>
    </row>
    <row r="99" spans="1:17" x14ac:dyDescent="0.2">
      <c r="A99" s="4"/>
      <c r="B99" s="4"/>
      <c r="C99" s="25"/>
      <c r="D99" s="25"/>
      <c r="E99" s="25"/>
      <c r="F99" s="25"/>
      <c r="G99" s="25"/>
      <c r="H99" s="25"/>
      <c r="I99" s="25"/>
      <c r="J99" s="25"/>
      <c r="K99" s="4"/>
      <c r="L99" s="25"/>
      <c r="M99" s="25"/>
      <c r="N99" s="25"/>
      <c r="O99" s="4"/>
      <c r="P99" s="4"/>
      <c r="Q99" s="4"/>
    </row>
    <row r="100" spans="1:17" x14ac:dyDescent="0.2">
      <c r="A100" s="4"/>
      <c r="B100" s="4"/>
      <c r="C100" s="25"/>
      <c r="D100" s="25"/>
      <c r="E100" s="25"/>
      <c r="F100" s="25"/>
      <c r="G100" s="25"/>
      <c r="H100" s="25"/>
      <c r="I100" s="25"/>
      <c r="J100" s="25"/>
      <c r="K100" s="4"/>
      <c r="L100" s="25"/>
      <c r="M100" s="25"/>
      <c r="N100" s="25"/>
      <c r="O100" s="4"/>
      <c r="P100" s="4"/>
      <c r="Q100" s="4"/>
    </row>
    <row r="101" spans="1:17" x14ac:dyDescent="0.2">
      <c r="A101" s="4"/>
      <c r="B101" s="4"/>
      <c r="C101" s="25"/>
      <c r="D101" s="25"/>
      <c r="E101" s="25"/>
      <c r="F101" s="25"/>
      <c r="G101" s="25"/>
      <c r="H101" s="25"/>
      <c r="I101" s="25"/>
      <c r="J101" s="25"/>
      <c r="K101" s="4"/>
      <c r="L101" s="25"/>
      <c r="M101" s="25"/>
      <c r="N101" s="25"/>
      <c r="O101" s="4"/>
      <c r="P101" s="4"/>
      <c r="Q101" s="4"/>
    </row>
    <row r="102" spans="1:17" x14ac:dyDescent="0.2">
      <c r="A102" s="4"/>
      <c r="B102" s="4"/>
      <c r="C102" s="25"/>
      <c r="D102" s="25"/>
      <c r="E102" s="25"/>
      <c r="F102" s="25"/>
      <c r="G102" s="25"/>
      <c r="H102" s="25"/>
      <c r="I102" s="25"/>
      <c r="J102" s="25"/>
      <c r="K102" s="4"/>
      <c r="L102" s="25"/>
      <c r="M102" s="25"/>
      <c r="N102" s="25"/>
      <c r="O102" s="4"/>
      <c r="P102" s="4"/>
      <c r="Q102" s="4"/>
    </row>
    <row r="103" spans="1:17" x14ac:dyDescent="0.2">
      <c r="A103" s="4"/>
      <c r="B103" s="4"/>
      <c r="C103" s="25"/>
      <c r="D103" s="25"/>
      <c r="E103" s="25"/>
      <c r="F103" s="25"/>
      <c r="G103" s="25"/>
      <c r="H103" s="25"/>
      <c r="I103" s="25"/>
      <c r="J103" s="25"/>
      <c r="K103" s="4"/>
      <c r="L103" s="25"/>
      <c r="M103" s="25"/>
      <c r="N103" s="25"/>
      <c r="O103" s="4"/>
      <c r="P103" s="4"/>
      <c r="Q103" s="4"/>
    </row>
    <row r="104" spans="1:17" x14ac:dyDescent="0.2">
      <c r="A104" s="4"/>
      <c r="B104" s="4"/>
      <c r="C104" s="25"/>
      <c r="D104" s="25"/>
      <c r="E104" s="25"/>
      <c r="F104" s="25"/>
      <c r="G104" s="25"/>
      <c r="H104" s="25"/>
      <c r="I104" s="25"/>
      <c r="J104" s="25"/>
      <c r="K104" s="4"/>
      <c r="L104" s="25"/>
      <c r="M104" s="25"/>
      <c r="N104" s="25"/>
      <c r="O104" s="4"/>
      <c r="P104" s="4"/>
      <c r="Q104" s="4"/>
    </row>
    <row r="105" spans="1:17" x14ac:dyDescent="0.2">
      <c r="A105" s="4"/>
      <c r="B105" s="4"/>
      <c r="C105" s="25"/>
      <c r="D105" s="25"/>
      <c r="E105" s="25"/>
      <c r="F105" s="25"/>
      <c r="G105" s="25"/>
      <c r="H105" s="25"/>
      <c r="I105" s="25"/>
      <c r="J105" s="25"/>
      <c r="K105" s="4"/>
      <c r="L105" s="25"/>
      <c r="M105" s="25"/>
      <c r="N105" s="25"/>
      <c r="O105" s="4"/>
      <c r="P105" s="4"/>
      <c r="Q105" s="4"/>
    </row>
    <row r="106" spans="1:17" x14ac:dyDescent="0.2">
      <c r="A106" s="4"/>
      <c r="B106" s="4"/>
      <c r="C106" s="25"/>
      <c r="D106" s="25"/>
      <c r="E106" s="25"/>
      <c r="F106" s="25"/>
      <c r="G106" s="25"/>
      <c r="H106" s="25"/>
      <c r="I106" s="25"/>
      <c r="J106" s="25"/>
      <c r="K106" s="4"/>
      <c r="L106" s="25"/>
      <c r="M106" s="25"/>
      <c r="N106" s="25"/>
      <c r="O106" s="4"/>
      <c r="P106" s="4"/>
      <c r="Q106" s="4"/>
    </row>
    <row r="107" spans="1:17" x14ac:dyDescent="0.2">
      <c r="A107" s="4"/>
      <c r="B107" s="4"/>
      <c r="C107" s="25"/>
      <c r="D107" s="25"/>
      <c r="E107" s="25"/>
      <c r="F107" s="25"/>
      <c r="G107" s="25"/>
      <c r="H107" s="25"/>
      <c r="I107" s="25"/>
      <c r="J107" s="25"/>
      <c r="K107" s="4"/>
      <c r="L107" s="25"/>
      <c r="M107" s="25"/>
      <c r="N107" s="25"/>
      <c r="O107" s="4"/>
      <c r="P107" s="4"/>
      <c r="Q107" s="4"/>
    </row>
    <row r="108" spans="1:17" x14ac:dyDescent="0.2">
      <c r="A108" s="4"/>
      <c r="B108" s="4"/>
      <c r="C108" s="25"/>
      <c r="D108" s="25"/>
      <c r="E108" s="25"/>
      <c r="F108" s="25"/>
      <c r="G108" s="25"/>
      <c r="H108" s="25"/>
      <c r="I108" s="25"/>
      <c r="J108" s="25"/>
      <c r="K108" s="4"/>
      <c r="L108" s="25"/>
      <c r="M108" s="25"/>
      <c r="N108" s="25"/>
      <c r="O108" s="4"/>
      <c r="P108" s="4"/>
      <c r="Q108" s="4"/>
    </row>
    <row r="109" spans="1:17" x14ac:dyDescent="0.2">
      <c r="A109" s="4"/>
      <c r="B109" s="4"/>
      <c r="C109" s="25"/>
      <c r="D109" s="25"/>
      <c r="E109" s="25"/>
      <c r="F109" s="25"/>
      <c r="G109" s="25"/>
      <c r="H109" s="25"/>
      <c r="I109" s="25"/>
      <c r="J109" s="25"/>
      <c r="K109" s="4"/>
      <c r="L109" s="25"/>
      <c r="M109" s="25"/>
      <c r="N109" s="25"/>
      <c r="O109" s="4"/>
      <c r="P109" s="4"/>
      <c r="Q109" s="4"/>
    </row>
    <row r="110" spans="1:17" x14ac:dyDescent="0.2">
      <c r="A110" s="4"/>
      <c r="B110" s="4"/>
      <c r="C110" s="25"/>
      <c r="D110" s="25"/>
      <c r="E110" s="25"/>
      <c r="F110" s="25"/>
      <c r="G110" s="25"/>
      <c r="H110" s="25"/>
      <c r="I110" s="25"/>
      <c r="J110" s="25"/>
      <c r="K110" s="4"/>
      <c r="L110" s="25"/>
      <c r="M110" s="25"/>
      <c r="N110" s="25"/>
      <c r="O110" s="4"/>
      <c r="P110" s="4"/>
      <c r="Q110" s="4"/>
    </row>
    <row r="111" spans="1:17" x14ac:dyDescent="0.2">
      <c r="A111" s="4"/>
      <c r="B111" s="4"/>
      <c r="C111" s="25"/>
      <c r="D111" s="25"/>
      <c r="E111" s="25"/>
      <c r="F111" s="25"/>
      <c r="G111" s="25"/>
      <c r="H111" s="25"/>
      <c r="I111" s="25"/>
      <c r="J111" s="25"/>
      <c r="K111" s="4"/>
      <c r="L111" s="25"/>
      <c r="M111" s="25"/>
      <c r="N111" s="25"/>
      <c r="O111" s="4"/>
      <c r="P111" s="4"/>
      <c r="Q111" s="4"/>
    </row>
    <row r="112" spans="1:17" x14ac:dyDescent="0.2">
      <c r="A112" s="4"/>
      <c r="B112" s="4"/>
      <c r="C112" s="25"/>
      <c r="D112" s="25"/>
      <c r="E112" s="25"/>
      <c r="F112" s="25"/>
      <c r="G112" s="25"/>
      <c r="H112" s="25"/>
      <c r="I112" s="25"/>
      <c r="J112" s="25"/>
      <c r="K112" s="4"/>
      <c r="L112" s="25"/>
      <c r="M112" s="25"/>
      <c r="N112" s="25"/>
      <c r="O112" s="4"/>
      <c r="P112" s="4"/>
      <c r="Q112" s="4"/>
    </row>
    <row r="113" spans="1:17" x14ac:dyDescent="0.2">
      <c r="A113" s="4"/>
      <c r="B113" s="4"/>
      <c r="C113" s="25"/>
      <c r="D113" s="25"/>
      <c r="E113" s="25"/>
      <c r="F113" s="25"/>
      <c r="G113" s="25"/>
      <c r="H113" s="25"/>
      <c r="I113" s="25"/>
      <c r="J113" s="25"/>
      <c r="K113" s="4"/>
      <c r="L113" s="25"/>
      <c r="M113" s="25"/>
      <c r="N113" s="25"/>
      <c r="O113" s="4"/>
      <c r="P113" s="4"/>
      <c r="Q113" s="4"/>
    </row>
    <row r="114" spans="1:17" x14ac:dyDescent="0.2">
      <c r="A114" s="4"/>
      <c r="B114" s="4"/>
      <c r="C114" s="25"/>
      <c r="D114" s="25"/>
      <c r="E114" s="25"/>
      <c r="F114" s="25"/>
      <c r="G114" s="25"/>
      <c r="H114" s="25"/>
      <c r="I114" s="25"/>
      <c r="J114" s="25"/>
      <c r="K114" s="4"/>
      <c r="L114" s="25"/>
      <c r="M114" s="25"/>
      <c r="N114" s="25"/>
      <c r="O114" s="4"/>
      <c r="P114" s="4"/>
      <c r="Q114" s="4"/>
    </row>
    <row r="115" spans="1:17" x14ac:dyDescent="0.2">
      <c r="A115" s="4"/>
      <c r="B115" s="4"/>
      <c r="C115" s="25"/>
      <c r="D115" s="25"/>
      <c r="E115" s="25"/>
      <c r="F115" s="25"/>
      <c r="G115" s="25"/>
      <c r="H115" s="25"/>
      <c r="I115" s="25"/>
      <c r="J115" s="25"/>
      <c r="K115" s="4"/>
      <c r="L115" s="25"/>
      <c r="M115" s="25"/>
      <c r="N115" s="25"/>
      <c r="O115" s="4"/>
      <c r="P115" s="4"/>
      <c r="Q115" s="4"/>
    </row>
    <row r="116" spans="1:17" x14ac:dyDescent="0.2">
      <c r="A116" s="4"/>
      <c r="B116" s="4"/>
      <c r="C116" s="25"/>
      <c r="D116" s="25"/>
      <c r="E116" s="25"/>
      <c r="F116" s="25"/>
      <c r="G116" s="25"/>
      <c r="H116" s="25"/>
      <c r="I116" s="25"/>
      <c r="J116" s="25"/>
      <c r="K116" s="4"/>
      <c r="L116" s="25"/>
      <c r="M116" s="25"/>
      <c r="N116" s="25"/>
      <c r="O116" s="4"/>
      <c r="P116" s="4"/>
      <c r="Q116" s="4"/>
    </row>
    <row r="117" spans="1:17" x14ac:dyDescent="0.2">
      <c r="A117" s="4"/>
      <c r="B117" s="4"/>
      <c r="C117" s="25"/>
      <c r="D117" s="25"/>
      <c r="E117" s="25"/>
      <c r="F117" s="25"/>
      <c r="G117" s="25"/>
      <c r="H117" s="25"/>
      <c r="I117" s="25"/>
      <c r="J117" s="25"/>
      <c r="K117" s="4"/>
      <c r="L117" s="25"/>
      <c r="M117" s="25"/>
      <c r="N117" s="25"/>
      <c r="O117" s="4"/>
      <c r="P117" s="4"/>
      <c r="Q117" s="4"/>
    </row>
    <row r="118" spans="1:17" x14ac:dyDescent="0.2">
      <c r="A118" s="4"/>
      <c r="B118" s="4"/>
      <c r="C118" s="25"/>
      <c r="D118" s="25"/>
      <c r="E118" s="25"/>
      <c r="F118" s="25"/>
      <c r="G118" s="25"/>
      <c r="H118" s="25"/>
      <c r="I118" s="25"/>
      <c r="J118" s="25"/>
      <c r="K118" s="4"/>
      <c r="L118" s="25"/>
      <c r="M118" s="25"/>
      <c r="N118" s="25"/>
      <c r="O118" s="4"/>
      <c r="P118" s="4"/>
      <c r="Q118" s="4"/>
    </row>
    <row r="119" spans="1:17" x14ac:dyDescent="0.2">
      <c r="C119" s="121"/>
    </row>
    <row r="120" spans="1:17" x14ac:dyDescent="0.2">
      <c r="C120" s="121"/>
    </row>
    <row r="121" spans="1:17" x14ac:dyDescent="0.2">
      <c r="C121" s="121"/>
    </row>
    <row r="122" spans="1:17" x14ac:dyDescent="0.2">
      <c r="C122" s="121"/>
    </row>
    <row r="123" spans="1:17" x14ac:dyDescent="0.2">
      <c r="C123" s="121"/>
    </row>
    <row r="124" spans="1:17" x14ac:dyDescent="0.2">
      <c r="C124" s="121"/>
    </row>
    <row r="125" spans="1:17" x14ac:dyDescent="0.2">
      <c r="C125" s="121"/>
    </row>
    <row r="126" spans="1:17" x14ac:dyDescent="0.2">
      <c r="C126" s="121"/>
    </row>
    <row r="127" spans="1:17" x14ac:dyDescent="0.2">
      <c r="C127" s="121"/>
    </row>
    <row r="128" spans="1:17"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2" orientation="landscape" horizontalDpi="300" verticalDpi="300" r:id="rId1"/>
  <headerFooter alignWithMargins="0">
    <oddFooter>&amp;L&amp;D     &amp;T&amp;C&amp;F&amp;R&amp;A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0"/>
  <sheetViews>
    <sheetView zoomScale="85" workbookViewId="0">
      <selection activeCell="K15" sqref="K15"/>
    </sheetView>
  </sheetViews>
  <sheetFormatPr defaultRowHeight="12.75" x14ac:dyDescent="0.2"/>
  <cols>
    <col min="1" max="1" width="12" bestFit="1" customWidth="1"/>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256</v>
      </c>
      <c r="B2" s="49"/>
      <c r="E2" s="153"/>
      <c r="H2" s="153" t="s">
        <v>252</v>
      </c>
      <c r="I2" s="153"/>
      <c r="J2" s="153"/>
      <c r="K2" s="67" t="s">
        <v>357</v>
      </c>
      <c r="M2" s="50" t="s">
        <v>481</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19"/>
      <c r="J8" s="20"/>
      <c r="K8" s="19"/>
      <c r="L8" s="20"/>
      <c r="M8" s="20"/>
    </row>
    <row r="9" spans="1:16" ht="13.5" thickBot="1" x14ac:dyDescent="0.25">
      <c r="A9" s="12">
        <v>5380</v>
      </c>
      <c r="B9" s="69" t="s">
        <v>466</v>
      </c>
      <c r="C9" s="141">
        <v>2750</v>
      </c>
      <c r="D9" s="16">
        <v>2750</v>
      </c>
      <c r="E9" s="16">
        <v>2750</v>
      </c>
      <c r="F9" s="16">
        <v>2750</v>
      </c>
      <c r="G9" s="16">
        <v>2750</v>
      </c>
      <c r="H9" s="16">
        <v>2750</v>
      </c>
      <c r="I9" s="16">
        <v>2750</v>
      </c>
      <c r="J9" s="17">
        <v>2750</v>
      </c>
      <c r="K9" s="16"/>
      <c r="L9" s="17">
        <v>2750</v>
      </c>
      <c r="M9" s="17"/>
    </row>
    <row r="10" spans="1:16" x14ac:dyDescent="0.2">
      <c r="A10" s="12"/>
      <c r="B10" s="70" t="s">
        <v>442</v>
      </c>
      <c r="C10" s="142">
        <f t="shared" ref="C10:M10" si="0">SUM(C9:C9)</f>
        <v>2750</v>
      </c>
      <c r="D10" s="19">
        <f t="shared" si="0"/>
        <v>2750</v>
      </c>
      <c r="E10" s="19">
        <f t="shared" si="0"/>
        <v>2750</v>
      </c>
      <c r="F10" s="19">
        <f t="shared" si="0"/>
        <v>2750</v>
      </c>
      <c r="G10" s="19">
        <f t="shared" si="0"/>
        <v>2750</v>
      </c>
      <c r="H10" s="19">
        <f t="shared" si="0"/>
        <v>2750</v>
      </c>
      <c r="I10" s="19">
        <f t="shared" si="0"/>
        <v>2750</v>
      </c>
      <c r="J10" s="20">
        <f t="shared" ref="J10" si="1">SUM(J9:J9)</f>
        <v>2750</v>
      </c>
      <c r="K10" s="19">
        <f t="shared" si="0"/>
        <v>0</v>
      </c>
      <c r="L10" s="20">
        <f t="shared" si="0"/>
        <v>2750</v>
      </c>
      <c r="M10" s="20">
        <f t="shared" si="0"/>
        <v>0</v>
      </c>
    </row>
    <row r="11" spans="1:16" x14ac:dyDescent="0.2">
      <c r="A11" s="12"/>
      <c r="B11" s="69"/>
      <c r="C11" s="140"/>
      <c r="D11" s="14"/>
      <c r="E11" s="14"/>
      <c r="F11" s="14"/>
      <c r="G11" s="14"/>
      <c r="H11" s="14"/>
      <c r="I11" s="14"/>
      <c r="J11" s="15"/>
      <c r="K11" s="14"/>
      <c r="L11" s="15"/>
      <c r="M11" s="15"/>
    </row>
    <row r="12" spans="1:16" ht="13.5" thickBot="1" x14ac:dyDescent="0.25">
      <c r="A12" s="21"/>
      <c r="B12" s="825" t="s">
        <v>449</v>
      </c>
      <c r="C12" s="816">
        <f t="shared" ref="C12:L12" si="2">+C10</f>
        <v>2750</v>
      </c>
      <c r="D12" s="23">
        <f t="shared" si="2"/>
        <v>2750</v>
      </c>
      <c r="E12" s="23">
        <f>+E10</f>
        <v>2750</v>
      </c>
      <c r="F12" s="23">
        <f>+F10</f>
        <v>2750</v>
      </c>
      <c r="G12" s="23">
        <f>+G10</f>
        <v>2750</v>
      </c>
      <c r="H12" s="23">
        <f>+H10</f>
        <v>2750</v>
      </c>
      <c r="I12" s="23">
        <f t="shared" si="2"/>
        <v>2750</v>
      </c>
      <c r="J12" s="24">
        <f t="shared" ref="J12" si="3">+J10</f>
        <v>2750</v>
      </c>
      <c r="K12" s="23">
        <f t="shared" si="2"/>
        <v>0</v>
      </c>
      <c r="L12" s="24">
        <f t="shared" si="2"/>
        <v>2750</v>
      </c>
      <c r="M12" s="24">
        <v>2750</v>
      </c>
    </row>
    <row r="13" spans="1:16" ht="13.5" thickTop="1" x14ac:dyDescent="0.2">
      <c r="A13" s="4"/>
      <c r="B13" s="826"/>
      <c r="C13" s="25"/>
      <c r="D13" s="25"/>
      <c r="E13" s="25"/>
      <c r="F13" s="25"/>
      <c r="G13" s="25"/>
      <c r="H13" s="25"/>
      <c r="I13" s="25"/>
      <c r="J13" s="25"/>
      <c r="K13" s="29"/>
      <c r="L13" s="25"/>
      <c r="M13" s="25"/>
      <c r="N13" s="29"/>
      <c r="O13" s="29"/>
      <c r="P13" s="29"/>
    </row>
    <row r="14" spans="1:16" x14ac:dyDescent="0.2">
      <c r="A14" s="62">
        <v>42353</v>
      </c>
      <c r="B14" s="826" t="s">
        <v>942</v>
      </c>
      <c r="C14" s="25"/>
      <c r="D14" s="25"/>
      <c r="E14" s="25"/>
      <c r="F14" s="25"/>
      <c r="G14" s="25"/>
      <c r="H14" s="25"/>
      <c r="I14" s="25"/>
      <c r="J14" s="25"/>
      <c r="K14" s="29"/>
      <c r="L14" s="25"/>
      <c r="M14" s="29"/>
      <c r="N14" s="29"/>
      <c r="O14" s="29"/>
      <c r="P14" s="29"/>
    </row>
    <row r="15" spans="1:16" x14ac:dyDescent="0.2">
      <c r="A15" s="4"/>
      <c r="B15" s="826" t="s">
        <v>943</v>
      </c>
      <c r="C15" s="25"/>
      <c r="D15" s="25"/>
      <c r="E15" s="25"/>
      <c r="F15" s="25"/>
      <c r="G15" s="25"/>
      <c r="H15" s="25"/>
      <c r="I15" s="25"/>
      <c r="J15" s="25"/>
      <c r="K15" s="29"/>
      <c r="L15" s="25"/>
      <c r="M15" s="25"/>
      <c r="N15" s="29"/>
      <c r="O15" s="29"/>
      <c r="P15" s="29"/>
    </row>
    <row r="16" spans="1:16" ht="13.5" thickBot="1" x14ac:dyDescent="0.25">
      <c r="A16" s="4"/>
      <c r="B16" s="826"/>
      <c r="C16" s="25"/>
      <c r="D16" s="25"/>
      <c r="E16" s="25"/>
      <c r="F16" s="25"/>
      <c r="G16" s="25"/>
      <c r="H16" s="25"/>
      <c r="I16" s="25"/>
      <c r="J16" s="25"/>
      <c r="K16" s="29"/>
      <c r="L16" s="25"/>
      <c r="M16" s="25"/>
      <c r="N16" s="29"/>
      <c r="O16" s="29"/>
      <c r="P16" s="29"/>
    </row>
    <row r="17" spans="1:16" ht="13.5" thickTop="1" x14ac:dyDescent="0.2">
      <c r="A17" s="517"/>
      <c r="B17" s="827"/>
      <c r="C17" s="817" t="s">
        <v>122</v>
      </c>
      <c r="D17" s="520" t="s">
        <v>122</v>
      </c>
      <c r="E17" s="520" t="s">
        <v>122</v>
      </c>
      <c r="H17" s="521" t="s">
        <v>542</v>
      </c>
      <c r="I17" s="522" t="s">
        <v>9</v>
      </c>
      <c r="J17" s="523" t="s">
        <v>1073</v>
      </c>
      <c r="K17" s="522" t="s">
        <v>682</v>
      </c>
      <c r="L17" s="524"/>
      <c r="M17" s="523"/>
      <c r="N17" s="29"/>
      <c r="O17" s="29"/>
      <c r="P17" s="29"/>
    </row>
    <row r="18" spans="1:16" ht="13.5" thickBot="1" x14ac:dyDescent="0.25">
      <c r="A18" s="525" t="s">
        <v>123</v>
      </c>
      <c r="B18" s="526"/>
      <c r="C18" s="580" t="s">
        <v>334</v>
      </c>
      <c r="D18" s="527" t="s">
        <v>718</v>
      </c>
      <c r="E18" s="528" t="s">
        <v>734</v>
      </c>
      <c r="H18" s="529" t="s">
        <v>899</v>
      </c>
      <c r="I18" s="529" t="s">
        <v>900</v>
      </c>
      <c r="J18" s="528" t="s">
        <v>1075</v>
      </c>
      <c r="K18" s="530" t="s">
        <v>1075</v>
      </c>
      <c r="L18" s="531" t="s">
        <v>1074</v>
      </c>
      <c r="M18" s="529"/>
      <c r="N18" s="29"/>
      <c r="O18" s="29"/>
      <c r="P18" s="29"/>
    </row>
    <row r="19" spans="1:16" ht="13.5" thickTop="1" x14ac:dyDescent="0.2">
      <c r="A19" s="548"/>
      <c r="B19" s="549"/>
      <c r="C19" s="536"/>
      <c r="D19" s="536"/>
      <c r="E19" s="536"/>
      <c r="H19" s="571"/>
      <c r="I19" s="534"/>
      <c r="J19" s="561"/>
      <c r="K19" s="559"/>
      <c r="L19" s="538"/>
      <c r="M19" s="539"/>
      <c r="N19" s="29"/>
      <c r="O19" s="29"/>
      <c r="P19" s="29"/>
    </row>
    <row r="20" spans="1:16" ht="13.5" thickBot="1" x14ac:dyDescent="0.25">
      <c r="A20" s="551">
        <v>5380</v>
      </c>
      <c r="B20" s="540" t="s">
        <v>466</v>
      </c>
      <c r="C20" s="542">
        <v>2750</v>
      </c>
      <c r="D20" s="542">
        <v>2750</v>
      </c>
      <c r="E20" s="542">
        <v>2750</v>
      </c>
      <c r="H20" s="543">
        <v>2750</v>
      </c>
      <c r="I20" s="569">
        <f>+L9</f>
        <v>2750</v>
      </c>
      <c r="J20" s="539">
        <f>+I20-H20</f>
        <v>0</v>
      </c>
      <c r="K20" s="545" t="str">
        <f>IF(H20+I20&lt;&gt;0,IF(H20&lt;&gt;0,IF(J20&lt;&gt;0,ROUND((+J20/H20),4),""),1),"")</f>
        <v/>
      </c>
      <c r="L20" s="538"/>
      <c r="M20" s="539"/>
      <c r="N20" s="29"/>
      <c r="O20" s="29"/>
      <c r="P20" s="29"/>
    </row>
    <row r="21" spans="1:16" x14ac:dyDescent="0.2">
      <c r="A21" s="4"/>
      <c r="B21" s="4"/>
      <c r="C21" s="25"/>
      <c r="D21" s="25"/>
      <c r="E21" s="25"/>
      <c r="F21" s="25"/>
      <c r="G21" s="25"/>
      <c r="H21" s="25"/>
      <c r="I21" s="25"/>
      <c r="J21" s="25"/>
      <c r="K21" s="29"/>
      <c r="L21" s="25"/>
      <c r="M21" s="25"/>
      <c r="N21" s="29"/>
      <c r="O21" s="29"/>
      <c r="P21" s="29"/>
    </row>
    <row r="22" spans="1:16" x14ac:dyDescent="0.2">
      <c r="A22" s="4"/>
      <c r="B22" s="4" t="s">
        <v>1600</v>
      </c>
      <c r="C22" s="25"/>
      <c r="D22" s="25"/>
      <c r="E22" s="25"/>
      <c r="F22" s="25"/>
      <c r="G22" s="25"/>
      <c r="H22" s="849">
        <f>SUM(H20:H21)</f>
        <v>2750</v>
      </c>
      <c r="I22" s="849">
        <f>SUM(I20:I21)</f>
        <v>2750</v>
      </c>
      <c r="J22" s="208">
        <f t="shared" ref="J22" si="4">+I22-H22</f>
        <v>0</v>
      </c>
      <c r="K22" s="850" t="str">
        <f t="shared" ref="K22" si="5">IF(H22+I22&lt;&gt;0,IF(H22&lt;&gt;0,IF(J22&lt;&gt;0,ROUND((+J22/H22),4),""),1),"")</f>
        <v/>
      </c>
      <c r="L22" s="25"/>
      <c r="M22" s="25"/>
      <c r="N22" s="29"/>
      <c r="O22" s="29"/>
      <c r="P22" s="29"/>
    </row>
    <row r="23" spans="1:16" x14ac:dyDescent="0.2">
      <c r="A23" s="4"/>
      <c r="B23" s="4"/>
      <c r="C23" s="25"/>
      <c r="D23" s="25"/>
      <c r="E23" s="25"/>
      <c r="F23" s="25"/>
      <c r="G23" s="25"/>
      <c r="H23" s="25"/>
      <c r="I23" s="25"/>
      <c r="J23" s="25"/>
      <c r="K23" s="29"/>
      <c r="L23" s="25"/>
      <c r="M23" s="25"/>
      <c r="N23" s="29"/>
      <c r="O23" s="29"/>
      <c r="P23" s="29"/>
    </row>
    <row r="24" spans="1:16" x14ac:dyDescent="0.2">
      <c r="A24" s="4"/>
      <c r="B24" s="4"/>
      <c r="C24" s="25"/>
      <c r="D24" s="25"/>
      <c r="E24" s="25"/>
      <c r="F24" s="25"/>
      <c r="G24" s="25"/>
      <c r="H24" s="25"/>
      <c r="I24" s="25"/>
      <c r="J24" s="25"/>
      <c r="K24" s="29"/>
      <c r="L24" s="25"/>
      <c r="M24" s="25"/>
      <c r="N24" s="29"/>
      <c r="O24" s="29"/>
      <c r="P24" s="29"/>
    </row>
    <row r="25" spans="1:16" x14ac:dyDescent="0.2">
      <c r="A25" s="4"/>
      <c r="B25" s="4"/>
      <c r="C25" s="25"/>
      <c r="D25" s="25"/>
      <c r="E25" s="25"/>
      <c r="F25" s="25"/>
      <c r="G25" s="25"/>
      <c r="H25" s="25"/>
      <c r="I25" s="25"/>
      <c r="J25" s="25"/>
      <c r="K25" s="29"/>
      <c r="L25" s="25"/>
      <c r="M25" s="25"/>
      <c r="N25" s="29"/>
      <c r="O25" s="29"/>
      <c r="P25" s="29"/>
    </row>
    <row r="26" spans="1:16" x14ac:dyDescent="0.2">
      <c r="A26" s="4"/>
      <c r="B26" s="4"/>
      <c r="C26" s="25"/>
      <c r="D26" s="25"/>
      <c r="E26" s="25"/>
      <c r="F26" s="25"/>
      <c r="G26" s="25"/>
      <c r="H26" s="25"/>
      <c r="I26" s="25"/>
      <c r="J26" s="25"/>
      <c r="K26" s="29"/>
      <c r="L26" s="25"/>
      <c r="M26" s="25"/>
      <c r="N26" s="29"/>
      <c r="O26" s="29"/>
      <c r="P26" s="29"/>
    </row>
    <row r="27" spans="1:16" x14ac:dyDescent="0.2">
      <c r="A27" s="4"/>
      <c r="B27" s="4"/>
      <c r="C27" s="25"/>
      <c r="D27" s="25"/>
      <c r="E27" s="25"/>
      <c r="F27" s="25"/>
      <c r="G27" s="25"/>
      <c r="H27" s="25"/>
      <c r="I27" s="25"/>
      <c r="J27" s="25"/>
      <c r="K27" s="29"/>
      <c r="L27" s="25"/>
      <c r="M27" s="25"/>
      <c r="N27" s="29"/>
      <c r="O27" s="29"/>
      <c r="P27" s="29"/>
    </row>
    <row r="28" spans="1:16" x14ac:dyDescent="0.2">
      <c r="A28" s="4"/>
      <c r="B28" s="4"/>
      <c r="C28" s="25"/>
      <c r="D28" s="25"/>
      <c r="E28" s="25"/>
      <c r="F28" s="25"/>
      <c r="G28" s="25"/>
      <c r="H28" s="25"/>
      <c r="I28" s="25"/>
      <c r="J28" s="25"/>
      <c r="K28" s="29"/>
      <c r="L28" s="25"/>
      <c r="M28" s="25"/>
      <c r="N28" s="29"/>
      <c r="O28" s="29"/>
      <c r="P28" s="29"/>
    </row>
    <row r="29" spans="1:16" x14ac:dyDescent="0.2">
      <c r="A29" s="4"/>
      <c r="B29" s="4"/>
      <c r="C29" s="25"/>
      <c r="D29" s="25"/>
      <c r="E29" s="25"/>
      <c r="F29" s="25"/>
      <c r="G29" s="25"/>
      <c r="H29" s="25"/>
      <c r="I29" s="25"/>
      <c r="J29" s="25"/>
      <c r="K29" s="29"/>
      <c r="L29" s="25"/>
      <c r="M29" s="25"/>
      <c r="N29" s="29"/>
      <c r="O29" s="29"/>
      <c r="P29" s="29"/>
    </row>
    <row r="30" spans="1:16" x14ac:dyDescent="0.2">
      <c r="A30" s="4"/>
      <c r="B30" s="4"/>
      <c r="C30" s="25"/>
      <c r="D30" s="25"/>
      <c r="E30" s="25"/>
      <c r="F30" s="25"/>
      <c r="G30" s="25"/>
      <c r="H30" s="25"/>
      <c r="I30" s="25"/>
      <c r="J30" s="25"/>
      <c r="K30" s="29"/>
      <c r="L30" s="25"/>
      <c r="M30" s="25"/>
      <c r="N30" s="29"/>
      <c r="O30" s="29"/>
      <c r="P30" s="29"/>
    </row>
    <row r="31" spans="1:16" x14ac:dyDescent="0.2">
      <c r="A31" s="4"/>
      <c r="B31" s="4"/>
      <c r="C31" s="25"/>
      <c r="D31" s="25"/>
      <c r="E31" s="25"/>
      <c r="F31" s="25"/>
      <c r="G31" s="25"/>
      <c r="H31" s="25"/>
      <c r="I31" s="25"/>
      <c r="J31" s="25"/>
      <c r="K31" s="29"/>
      <c r="L31" s="25"/>
      <c r="M31" s="25"/>
      <c r="N31" s="29"/>
      <c r="O31" s="29"/>
      <c r="P31" s="29"/>
    </row>
    <row r="32" spans="1:16" x14ac:dyDescent="0.2">
      <c r="A32" s="4"/>
      <c r="B32" s="4"/>
      <c r="C32" s="25"/>
      <c r="D32" s="25"/>
      <c r="E32" s="25"/>
      <c r="F32" s="25"/>
      <c r="G32" s="25"/>
      <c r="H32" s="25"/>
      <c r="I32" s="25"/>
      <c r="J32" s="25"/>
      <c r="K32" s="29"/>
      <c r="L32" s="25"/>
      <c r="M32" s="25"/>
      <c r="N32" s="29"/>
      <c r="O32" s="29"/>
      <c r="P32" s="29"/>
    </row>
    <row r="33" spans="1:16" x14ac:dyDescent="0.2">
      <c r="A33" s="4"/>
      <c r="B33" s="4"/>
      <c r="C33" s="25"/>
      <c r="D33" s="25"/>
      <c r="E33" s="25"/>
      <c r="F33" s="25"/>
      <c r="G33" s="25"/>
      <c r="H33" s="25"/>
      <c r="I33" s="25"/>
      <c r="J33" s="25"/>
      <c r="K33" s="29"/>
      <c r="L33" s="25"/>
      <c r="M33" s="25"/>
      <c r="N33" s="29"/>
      <c r="O33" s="29"/>
      <c r="P33" s="29"/>
    </row>
    <row r="34" spans="1:16" x14ac:dyDescent="0.2">
      <c r="A34" s="4"/>
      <c r="B34" s="4"/>
      <c r="C34" s="25"/>
      <c r="D34" s="25"/>
      <c r="E34" s="25"/>
      <c r="F34" s="25"/>
      <c r="G34" s="25"/>
      <c r="H34" s="25"/>
      <c r="I34" s="25"/>
      <c r="J34" s="25"/>
      <c r="K34" s="29"/>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9"/>
      <c r="L42" s="25"/>
      <c r="M42" s="25"/>
      <c r="N42" s="29"/>
      <c r="O42" s="29"/>
      <c r="P42" s="29"/>
    </row>
    <row r="43" spans="1:16" x14ac:dyDescent="0.2">
      <c r="A43" s="4"/>
      <c r="B43" s="4"/>
      <c r="C43" s="25"/>
      <c r="D43" s="25"/>
      <c r="E43" s="25"/>
      <c r="F43" s="25"/>
      <c r="G43" s="25"/>
      <c r="H43" s="25"/>
      <c r="I43" s="25"/>
      <c r="J43" s="25"/>
      <c r="K43" s="29"/>
      <c r="L43" s="25"/>
      <c r="M43" s="25"/>
      <c r="N43" s="29"/>
      <c r="O43" s="29"/>
      <c r="P43" s="29"/>
    </row>
    <row r="44" spans="1:16" x14ac:dyDescent="0.2">
      <c r="A44" s="4"/>
      <c r="B44" s="4"/>
      <c r="C44" s="25"/>
      <c r="D44" s="25"/>
      <c r="E44" s="25"/>
      <c r="F44" s="25"/>
      <c r="G44" s="25"/>
      <c r="H44" s="25"/>
      <c r="I44" s="25"/>
      <c r="J44" s="25"/>
      <c r="K44" s="29"/>
      <c r="L44" s="25"/>
      <c r="M44" s="25"/>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c r="C46" s="25"/>
      <c r="D46" s="25"/>
      <c r="E46" s="25"/>
      <c r="F46" s="25"/>
      <c r="G46" s="25"/>
      <c r="H46" s="25"/>
      <c r="I46" s="25"/>
      <c r="J46" s="25"/>
      <c r="K46" s="29"/>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29"/>
      <c r="L50" s="25"/>
      <c r="M50" s="25"/>
      <c r="N50" s="29"/>
      <c r="O50" s="29"/>
      <c r="P50" s="29"/>
    </row>
    <row r="51" spans="1:16" x14ac:dyDescent="0.2">
      <c r="A51" s="4"/>
      <c r="B51" s="4"/>
      <c r="C51" s="25"/>
      <c r="D51" s="25"/>
      <c r="E51" s="25"/>
      <c r="F51" s="25"/>
      <c r="G51" s="25"/>
      <c r="H51" s="25"/>
      <c r="I51" s="25"/>
      <c r="J51" s="25"/>
      <c r="K51" s="29"/>
      <c r="L51" s="25"/>
      <c r="M51" s="25"/>
      <c r="N51" s="29"/>
      <c r="O51" s="29"/>
      <c r="P51" s="29"/>
    </row>
    <row r="52" spans="1:16" x14ac:dyDescent="0.2">
      <c r="A52" s="4"/>
      <c r="B52" s="4"/>
      <c r="C52" s="25"/>
      <c r="D52" s="25"/>
      <c r="E52" s="25"/>
      <c r="F52" s="25"/>
      <c r="G52" s="25"/>
      <c r="H52" s="25"/>
      <c r="I52" s="25"/>
      <c r="J52" s="25"/>
      <c r="K52" s="29"/>
      <c r="L52" s="25"/>
      <c r="M52" s="25"/>
      <c r="N52" s="29"/>
      <c r="O52" s="29"/>
      <c r="P52" s="29"/>
    </row>
    <row r="53" spans="1:16" x14ac:dyDescent="0.2">
      <c r="A53" s="4"/>
      <c r="B53" s="4"/>
      <c r="C53" s="25"/>
      <c r="D53" s="25"/>
      <c r="E53" s="25"/>
      <c r="F53" s="25"/>
      <c r="G53" s="25"/>
      <c r="H53" s="25"/>
      <c r="I53" s="25"/>
      <c r="J53" s="25"/>
      <c r="K53" s="29"/>
      <c r="L53" s="25"/>
      <c r="M53" s="25"/>
      <c r="N53" s="29"/>
      <c r="O53" s="29"/>
      <c r="P53" s="29"/>
    </row>
    <row r="54" spans="1:16" x14ac:dyDescent="0.2">
      <c r="A54" s="4"/>
      <c r="B54" s="4"/>
      <c r="C54" s="25"/>
      <c r="D54" s="25"/>
      <c r="E54" s="25"/>
      <c r="F54" s="25"/>
      <c r="G54" s="25"/>
      <c r="H54" s="25"/>
      <c r="I54" s="25"/>
      <c r="J54" s="25"/>
      <c r="K54" s="29"/>
      <c r="L54" s="25"/>
      <c r="M54" s="25"/>
      <c r="N54" s="29"/>
      <c r="O54" s="29"/>
      <c r="P54" s="29"/>
    </row>
    <row r="55" spans="1:16" x14ac:dyDescent="0.2">
      <c r="A55" s="4"/>
      <c r="B55" s="4"/>
      <c r="C55" s="25"/>
      <c r="D55" s="25"/>
      <c r="E55" s="25"/>
      <c r="F55" s="25"/>
      <c r="G55" s="25"/>
      <c r="H55" s="25"/>
      <c r="I55" s="25"/>
      <c r="J55" s="25"/>
      <c r="K55" s="29"/>
      <c r="L55" s="25"/>
      <c r="M55" s="25"/>
      <c r="N55" s="29"/>
      <c r="O55" s="29"/>
      <c r="P55" s="29"/>
    </row>
    <row r="56" spans="1:16" x14ac:dyDescent="0.2">
      <c r="A56" s="4"/>
      <c r="B56" s="4"/>
      <c r="C56" s="25"/>
      <c r="D56" s="25"/>
      <c r="E56" s="25"/>
      <c r="F56" s="25"/>
      <c r="G56" s="25"/>
      <c r="H56" s="25"/>
      <c r="I56" s="25"/>
      <c r="J56" s="25"/>
      <c r="K56" s="29"/>
      <c r="L56" s="25"/>
      <c r="M56" s="25"/>
      <c r="N56" s="29"/>
      <c r="O56" s="29"/>
      <c r="P56" s="29"/>
    </row>
    <row r="57" spans="1:16" x14ac:dyDescent="0.2">
      <c r="A57" s="4"/>
      <c r="B57" s="4"/>
      <c r="C57" s="25"/>
      <c r="D57" s="25"/>
      <c r="E57" s="25"/>
      <c r="F57" s="25"/>
      <c r="G57" s="25"/>
      <c r="H57" s="25"/>
      <c r="I57" s="25"/>
      <c r="J57" s="25"/>
      <c r="K57" s="29"/>
      <c r="L57" s="25"/>
      <c r="M57" s="25"/>
      <c r="N57" s="29"/>
      <c r="O57" s="29"/>
      <c r="P57" s="29"/>
    </row>
    <row r="58" spans="1:16" x14ac:dyDescent="0.2">
      <c r="A58" s="4"/>
      <c r="B58" s="4"/>
      <c r="C58" s="25"/>
      <c r="D58" s="25"/>
      <c r="E58" s="25"/>
      <c r="F58" s="25"/>
      <c r="G58" s="25"/>
      <c r="H58" s="25"/>
      <c r="I58" s="25"/>
      <c r="J58" s="25"/>
      <c r="K58" s="29"/>
      <c r="L58" s="25"/>
      <c r="M58" s="25"/>
      <c r="N58" s="29"/>
      <c r="O58" s="29"/>
      <c r="P58" s="29"/>
    </row>
    <row r="59" spans="1:16" x14ac:dyDescent="0.2">
      <c r="A59" s="4"/>
      <c r="B59" s="4"/>
      <c r="C59" s="25"/>
      <c r="D59" s="25"/>
      <c r="E59" s="25"/>
      <c r="F59" s="25"/>
      <c r="G59" s="25"/>
      <c r="H59" s="25"/>
      <c r="I59" s="25"/>
      <c r="J59" s="25"/>
      <c r="K59" s="29"/>
      <c r="L59" s="25"/>
      <c r="M59" s="25"/>
      <c r="N59" s="29"/>
      <c r="O59" s="29"/>
      <c r="P59" s="29"/>
    </row>
    <row r="60" spans="1:16" x14ac:dyDescent="0.2">
      <c r="A60" s="4"/>
      <c r="B60" s="4"/>
      <c r="C60" s="25"/>
      <c r="D60" s="25"/>
      <c r="E60" s="25"/>
      <c r="F60" s="25"/>
      <c r="G60" s="25"/>
      <c r="H60" s="25"/>
      <c r="I60" s="25"/>
      <c r="J60" s="25"/>
      <c r="K60" s="29"/>
      <c r="L60" s="25"/>
      <c r="M60" s="25"/>
      <c r="N60" s="29"/>
      <c r="O60" s="29"/>
      <c r="P60" s="29"/>
    </row>
    <row r="61" spans="1:16" x14ac:dyDescent="0.2">
      <c r="A61" s="4"/>
      <c r="B61" s="4"/>
      <c r="C61" s="25"/>
      <c r="D61" s="25"/>
      <c r="E61" s="25"/>
      <c r="F61" s="25"/>
      <c r="G61" s="25"/>
      <c r="H61" s="25"/>
      <c r="I61" s="25"/>
      <c r="J61" s="25"/>
      <c r="K61" s="29"/>
      <c r="L61" s="25"/>
      <c r="M61" s="25"/>
      <c r="N61" s="29"/>
      <c r="O61" s="29"/>
      <c r="P61" s="29"/>
    </row>
    <row r="62" spans="1:16" x14ac:dyDescent="0.2">
      <c r="A62" s="4"/>
      <c r="B62" s="4"/>
      <c r="C62" s="25"/>
      <c r="D62" s="25"/>
      <c r="E62" s="25"/>
      <c r="F62" s="25"/>
      <c r="G62" s="25"/>
      <c r="H62" s="25"/>
      <c r="I62" s="25"/>
      <c r="J62" s="25"/>
      <c r="K62" s="29"/>
      <c r="L62" s="25"/>
      <c r="M62" s="25"/>
      <c r="N62" s="29"/>
      <c r="O62" s="29"/>
      <c r="P62" s="29"/>
    </row>
    <row r="63" spans="1:16" x14ac:dyDescent="0.2">
      <c r="A63" s="4"/>
      <c r="B63" s="4"/>
      <c r="C63" s="25"/>
      <c r="D63" s="25"/>
      <c r="E63" s="25"/>
      <c r="F63" s="25"/>
      <c r="G63" s="25"/>
      <c r="H63" s="25"/>
      <c r="I63" s="25"/>
      <c r="J63" s="25"/>
      <c r="K63" s="29"/>
      <c r="L63" s="25"/>
      <c r="M63" s="25"/>
      <c r="N63" s="29"/>
      <c r="O63" s="29"/>
      <c r="P63" s="29"/>
    </row>
    <row r="64" spans="1:16" x14ac:dyDescent="0.2">
      <c r="A64" s="4"/>
      <c r="B64" s="4"/>
      <c r="C64" s="25"/>
      <c r="D64" s="25"/>
      <c r="E64" s="25"/>
      <c r="F64" s="25"/>
      <c r="G64" s="25"/>
      <c r="H64" s="25"/>
      <c r="I64" s="25"/>
      <c r="J64" s="25"/>
      <c r="K64" s="29"/>
      <c r="L64" s="25"/>
      <c r="M64" s="25"/>
      <c r="N64" s="29"/>
      <c r="O64" s="29"/>
      <c r="P64" s="29"/>
    </row>
    <row r="65" spans="1:16" x14ac:dyDescent="0.2">
      <c r="A65" s="4"/>
      <c r="B65" s="4"/>
      <c r="C65" s="25"/>
      <c r="D65" s="25"/>
      <c r="E65" s="25"/>
      <c r="F65" s="25"/>
      <c r="G65" s="25"/>
      <c r="H65" s="25"/>
      <c r="I65" s="25"/>
      <c r="J65" s="25"/>
      <c r="K65" s="29"/>
      <c r="L65" s="25"/>
      <c r="M65" s="25"/>
      <c r="N65" s="29"/>
      <c r="O65" s="29"/>
      <c r="P65" s="29"/>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A123" s="4"/>
      <c r="B123" s="4"/>
      <c r="C123" s="25"/>
      <c r="D123" s="25"/>
      <c r="E123" s="25"/>
      <c r="F123" s="25"/>
      <c r="G123" s="25"/>
      <c r="H123" s="25"/>
      <c r="I123" s="25"/>
      <c r="J123" s="25"/>
      <c r="K123" s="4"/>
      <c r="L123" s="25"/>
      <c r="M123" s="25"/>
      <c r="N123" s="4"/>
      <c r="O123" s="4"/>
      <c r="P123" s="4"/>
    </row>
    <row r="124" spans="1:16" x14ac:dyDescent="0.2">
      <c r="A124" s="4"/>
      <c r="B124" s="4"/>
      <c r="C124" s="25"/>
      <c r="D124" s="25"/>
      <c r="E124" s="25"/>
      <c r="F124" s="25"/>
      <c r="G124" s="25"/>
      <c r="H124" s="25"/>
      <c r="I124" s="25"/>
      <c r="J124" s="25"/>
      <c r="K124" s="4"/>
      <c r="L124" s="25"/>
      <c r="M124" s="25"/>
      <c r="N124" s="4"/>
      <c r="O124" s="4"/>
      <c r="P124" s="4"/>
    </row>
    <row r="125" spans="1:16" x14ac:dyDescent="0.2">
      <c r="A125" s="4"/>
      <c r="B125" s="4"/>
      <c r="C125" s="25"/>
      <c r="D125" s="25"/>
      <c r="E125" s="25"/>
      <c r="F125" s="25"/>
      <c r="G125" s="25"/>
      <c r="H125" s="25"/>
      <c r="I125" s="25"/>
      <c r="J125" s="25"/>
      <c r="K125" s="4"/>
      <c r="L125" s="25"/>
      <c r="M125" s="25"/>
      <c r="N125" s="4"/>
      <c r="O125" s="4"/>
      <c r="P125" s="4"/>
    </row>
    <row r="126" spans="1:16" x14ac:dyDescent="0.2">
      <c r="A126" s="4"/>
      <c r="B126" s="4"/>
      <c r="C126" s="25"/>
      <c r="D126" s="25"/>
      <c r="E126" s="25"/>
      <c r="F126" s="25"/>
      <c r="G126" s="25"/>
      <c r="H126" s="25"/>
      <c r="I126" s="25"/>
      <c r="J126" s="25"/>
      <c r="K126" s="4"/>
      <c r="L126" s="25"/>
      <c r="M126" s="25"/>
      <c r="N126" s="4"/>
      <c r="O126" s="4"/>
      <c r="P126" s="4"/>
    </row>
    <row r="127" spans="1:16" x14ac:dyDescent="0.2">
      <c r="A127" s="4"/>
      <c r="B127" s="4"/>
      <c r="C127" s="25"/>
      <c r="D127" s="25"/>
      <c r="E127" s="25"/>
      <c r="F127" s="25"/>
      <c r="G127" s="25"/>
      <c r="H127" s="25"/>
      <c r="I127" s="25"/>
      <c r="J127" s="25"/>
      <c r="K127" s="4"/>
      <c r="L127" s="25"/>
      <c r="M127" s="25"/>
      <c r="N127" s="4"/>
      <c r="O127" s="4"/>
      <c r="P127" s="4"/>
    </row>
    <row r="128" spans="1:16" x14ac:dyDescent="0.2">
      <c r="A128" s="4"/>
      <c r="B128" s="4"/>
      <c r="C128" s="25"/>
      <c r="D128" s="25"/>
      <c r="E128" s="25"/>
      <c r="F128" s="25"/>
      <c r="G128" s="25"/>
      <c r="H128" s="25"/>
      <c r="I128" s="25"/>
      <c r="J128" s="25"/>
      <c r="K128" s="4"/>
      <c r="L128" s="25"/>
      <c r="M128" s="25"/>
      <c r="N128" s="4"/>
      <c r="O128" s="4"/>
      <c r="P128" s="4"/>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row r="178" spans="3:3" x14ac:dyDescent="0.2">
      <c r="C178" s="121"/>
    </row>
    <row r="179" spans="3:3" x14ac:dyDescent="0.2">
      <c r="C179" s="121"/>
    </row>
    <row r="180" spans="3:3" x14ac:dyDescent="0.2">
      <c r="C180" s="121"/>
    </row>
  </sheetData>
  <phoneticPr fontId="0" type="noConversion"/>
  <hyperlinks>
    <hyperlink ref="A1" location="'Working Budget with funding det'!A1" display="Main "/>
    <hyperlink ref="B1" location="'Table of Contents'!A1" display="TOC"/>
  </hyperlinks>
  <pageMargins left="0.75" right="0.75" top="1" bottom="1" header="0.5" footer="0.5"/>
  <pageSetup scale="99" orientation="landscape" horizontalDpi="300" verticalDpi="300" r:id="rId1"/>
  <headerFooter alignWithMargins="0">
    <oddFooter>&amp;L&amp;D     &amp;T&amp;C&amp;F&amp;R&amp;A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9"/>
  <sheetViews>
    <sheetView zoomScale="85" workbookViewId="0">
      <pane ySplit="7" topLeftCell="A8" activePane="bottomLeft" state="frozen"/>
      <selection activeCell="K15" sqref="K15"/>
      <selection pane="bottomLeft" activeCell="K15" sqref="K15"/>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256</v>
      </c>
      <c r="B2" s="49"/>
      <c r="E2" s="153"/>
      <c r="H2" s="153" t="s">
        <v>252</v>
      </c>
      <c r="I2" s="153"/>
      <c r="J2" s="153"/>
      <c r="K2" s="67" t="s">
        <v>358</v>
      </c>
      <c r="M2" s="50" t="s">
        <v>506</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19"/>
      <c r="J8" s="20"/>
      <c r="K8" s="19"/>
      <c r="L8" s="20"/>
      <c r="M8" s="20"/>
    </row>
    <row r="9" spans="1:16" ht="13.5" thickBot="1" x14ac:dyDescent="0.25">
      <c r="A9" s="12">
        <v>5113</v>
      </c>
      <c r="B9" s="69" t="s">
        <v>103</v>
      </c>
      <c r="C9" s="141">
        <v>5490</v>
      </c>
      <c r="D9" s="16">
        <v>5490</v>
      </c>
      <c r="E9" s="16">
        <v>5490</v>
      </c>
      <c r="F9" s="16">
        <v>5490</v>
      </c>
      <c r="G9" s="16">
        <v>5490</v>
      </c>
      <c r="H9" s="16">
        <v>5490</v>
      </c>
      <c r="I9" s="16">
        <v>5490</v>
      </c>
      <c r="J9" s="17">
        <v>5765</v>
      </c>
      <c r="K9" s="16">
        <v>2882.52</v>
      </c>
      <c r="L9" s="17">
        <v>5765</v>
      </c>
      <c r="M9" s="17"/>
    </row>
    <row r="10" spans="1:16" x14ac:dyDescent="0.2">
      <c r="A10" s="12"/>
      <c r="B10" s="823" t="s">
        <v>125</v>
      </c>
      <c r="C10" s="142">
        <f>SUM(C9:C9)</f>
        <v>5490</v>
      </c>
      <c r="D10" s="19">
        <f>SUM(D9:D9)</f>
        <v>5490</v>
      </c>
      <c r="E10" s="19">
        <f>SUM(E9:E9)</f>
        <v>5490</v>
      </c>
      <c r="F10" s="19">
        <f>SUM(F9)</f>
        <v>5490</v>
      </c>
      <c r="G10" s="19">
        <f>SUM(G9)</f>
        <v>5490</v>
      </c>
      <c r="H10" s="19">
        <f>SUM(H9)</f>
        <v>5490</v>
      </c>
      <c r="I10" s="19">
        <f>+I9</f>
        <v>5490</v>
      </c>
      <c r="J10" s="20">
        <f>+J9</f>
        <v>5765</v>
      </c>
      <c r="K10" s="19">
        <f>SUM(K9:K9)</f>
        <v>2882.52</v>
      </c>
      <c r="L10" s="20">
        <f>+L9</f>
        <v>5765</v>
      </c>
      <c r="M10" s="20">
        <f>+M9</f>
        <v>0</v>
      </c>
    </row>
    <row r="11" spans="1:16" x14ac:dyDescent="0.2">
      <c r="A11" s="12"/>
      <c r="B11" s="250"/>
      <c r="C11" s="140"/>
      <c r="D11" s="14"/>
      <c r="E11" s="14"/>
      <c r="F11" s="14"/>
      <c r="G11" s="14"/>
      <c r="H11" s="14"/>
      <c r="I11" s="14"/>
      <c r="J11" s="15"/>
      <c r="K11" s="14"/>
      <c r="L11" s="15"/>
      <c r="M11" s="15"/>
    </row>
    <row r="12" spans="1:16" hidden="1" x14ac:dyDescent="0.2">
      <c r="A12" s="12">
        <v>5380</v>
      </c>
      <c r="B12" s="250" t="s">
        <v>763</v>
      </c>
      <c r="C12" s="263">
        <v>100</v>
      </c>
      <c r="D12" s="39">
        <v>100</v>
      </c>
      <c r="E12" s="39">
        <v>100</v>
      </c>
      <c r="F12" s="39">
        <v>150</v>
      </c>
      <c r="G12" s="39"/>
      <c r="H12" s="39"/>
      <c r="I12" s="39"/>
      <c r="J12" s="40"/>
      <c r="K12" s="39"/>
      <c r="L12" s="40"/>
      <c r="M12" s="40"/>
    </row>
    <row r="13" spans="1:16" ht="13.5" hidden="1" thickBot="1" x14ac:dyDescent="0.25">
      <c r="A13" s="12">
        <v>5420</v>
      </c>
      <c r="B13" s="250" t="s">
        <v>665</v>
      </c>
      <c r="C13" s="141"/>
      <c r="D13" s="16"/>
      <c r="E13" s="16"/>
      <c r="F13" s="16"/>
      <c r="G13" s="16"/>
      <c r="H13" s="16"/>
      <c r="I13" s="16"/>
      <c r="J13" s="17"/>
      <c r="K13" s="16"/>
      <c r="L13" s="17"/>
      <c r="M13" s="17"/>
    </row>
    <row r="14" spans="1:16" hidden="1" x14ac:dyDescent="0.2">
      <c r="A14" s="12"/>
      <c r="B14" s="823" t="s">
        <v>442</v>
      </c>
      <c r="C14" s="142">
        <f>SUM(C13:C13)</f>
        <v>0</v>
      </c>
      <c r="D14" s="19">
        <f t="shared" ref="D14:L14" si="0">SUM(D12:D13)</f>
        <v>100</v>
      </c>
      <c r="E14" s="19">
        <f t="shared" si="0"/>
        <v>100</v>
      </c>
      <c r="F14" s="19">
        <f>SUM(F12:F13)</f>
        <v>150</v>
      </c>
      <c r="G14" s="19">
        <f>SUM(G12:G13)</f>
        <v>0</v>
      </c>
      <c r="H14" s="19">
        <f>SUM(H12:H13)</f>
        <v>0</v>
      </c>
      <c r="I14" s="19">
        <f t="shared" si="0"/>
        <v>0</v>
      </c>
      <c r="J14" s="20">
        <f t="shared" ref="J14" si="1">SUM(J12:J13)</f>
        <v>0</v>
      </c>
      <c r="K14" s="19">
        <f t="shared" si="0"/>
        <v>0</v>
      </c>
      <c r="L14" s="20">
        <f t="shared" si="0"/>
        <v>0</v>
      </c>
      <c r="M14" s="20">
        <f>SUM(M12:M13)</f>
        <v>0</v>
      </c>
    </row>
    <row r="15" spans="1:16" x14ac:dyDescent="0.2">
      <c r="A15" s="12"/>
      <c r="B15" s="250"/>
      <c r="C15" s="140"/>
      <c r="D15" s="14"/>
      <c r="E15" s="14"/>
      <c r="F15" s="14"/>
      <c r="G15" s="14"/>
      <c r="H15" s="14"/>
      <c r="I15" s="14"/>
      <c r="J15" s="15"/>
      <c r="K15" s="14"/>
      <c r="L15" s="15"/>
      <c r="M15" s="15"/>
    </row>
    <row r="16" spans="1:16" ht="13.5" thickBot="1" x14ac:dyDescent="0.25">
      <c r="A16" s="21"/>
      <c r="B16" s="824" t="s">
        <v>450</v>
      </c>
      <c r="C16" s="816">
        <f t="shared" ref="C16:L16" si="2">+C14+C10</f>
        <v>5490</v>
      </c>
      <c r="D16" s="23">
        <f t="shared" si="2"/>
        <v>5590</v>
      </c>
      <c r="E16" s="23">
        <f>+E14+E10</f>
        <v>5590</v>
      </c>
      <c r="F16" s="23">
        <f>+F14+F10</f>
        <v>5640</v>
      </c>
      <c r="G16" s="23">
        <f>+G14+G10</f>
        <v>5490</v>
      </c>
      <c r="H16" s="23">
        <f>+H14+H10</f>
        <v>5490</v>
      </c>
      <c r="I16" s="23">
        <f t="shared" si="2"/>
        <v>5490</v>
      </c>
      <c r="J16" s="24">
        <f t="shared" ref="J16" si="3">+J14+J10</f>
        <v>5765</v>
      </c>
      <c r="K16" s="23">
        <f t="shared" si="2"/>
        <v>2882.52</v>
      </c>
      <c r="L16" s="24">
        <f t="shared" si="2"/>
        <v>5765</v>
      </c>
      <c r="M16" s="24">
        <f>+L16</f>
        <v>5765</v>
      </c>
    </row>
    <row r="17" spans="1:17" ht="13.5" thickTop="1" x14ac:dyDescent="0.2">
      <c r="A17" s="28">
        <v>5380</v>
      </c>
      <c r="B17" s="828" t="s">
        <v>935</v>
      </c>
      <c r="C17" s="402"/>
      <c r="D17" s="404"/>
      <c r="E17" s="404"/>
      <c r="F17" s="404"/>
      <c r="G17" s="404"/>
      <c r="H17" s="404"/>
      <c r="I17" s="404"/>
      <c r="J17" s="404"/>
      <c r="K17" s="148"/>
      <c r="L17" s="402"/>
      <c r="M17" s="144"/>
      <c r="N17" s="101"/>
      <c r="O17" s="101"/>
      <c r="P17" s="101"/>
      <c r="Q17" s="59"/>
    </row>
    <row r="18" spans="1:17" x14ac:dyDescent="0.2">
      <c r="A18" s="28"/>
      <c r="B18" s="828"/>
      <c r="C18" s="144"/>
      <c r="D18" s="226"/>
      <c r="E18" s="226"/>
      <c r="F18" s="226"/>
      <c r="G18" s="226"/>
      <c r="H18" s="226"/>
      <c r="I18" s="226"/>
      <c r="J18" s="226"/>
      <c r="K18" s="101"/>
      <c r="L18" s="144"/>
      <c r="M18" s="144"/>
      <c r="N18" s="101"/>
      <c r="O18" s="101"/>
      <c r="P18" s="101"/>
      <c r="Q18" s="59"/>
    </row>
    <row r="19" spans="1:17" ht="13.5" thickBot="1" x14ac:dyDescent="0.25">
      <c r="A19" s="196"/>
      <c r="B19" s="161"/>
      <c r="C19" s="118"/>
      <c r="D19" s="234"/>
      <c r="E19" s="234"/>
      <c r="F19" s="234"/>
      <c r="G19" s="234"/>
      <c r="H19" s="234"/>
      <c r="I19" s="234"/>
      <c r="J19" s="234"/>
      <c r="K19" s="96"/>
      <c r="L19" s="118"/>
      <c r="M19" s="118"/>
      <c r="N19" s="96"/>
      <c r="O19" s="96"/>
      <c r="P19" s="96"/>
      <c r="Q19" s="59"/>
    </row>
    <row r="20" spans="1:17" ht="13.5" thickTop="1" x14ac:dyDescent="0.2">
      <c r="A20" s="517"/>
      <c r="B20" s="518"/>
      <c r="C20" s="519" t="s">
        <v>122</v>
      </c>
      <c r="D20" s="520" t="s">
        <v>122</v>
      </c>
      <c r="E20" s="520" t="s">
        <v>122</v>
      </c>
      <c r="H20" s="521" t="s">
        <v>542</v>
      </c>
      <c r="I20" s="522" t="s">
        <v>9</v>
      </c>
      <c r="J20" s="523" t="s">
        <v>1073</v>
      </c>
      <c r="K20" s="522" t="s">
        <v>682</v>
      </c>
      <c r="L20" s="524"/>
      <c r="M20" s="523"/>
      <c r="N20" s="96"/>
      <c r="O20" s="96"/>
      <c r="P20" s="96"/>
      <c r="Q20" s="59"/>
    </row>
    <row r="21" spans="1:17" ht="13.5" thickBot="1" x14ac:dyDescent="0.25">
      <c r="A21" s="525" t="s">
        <v>123</v>
      </c>
      <c r="B21" s="526"/>
      <c r="C21" s="527" t="s">
        <v>334</v>
      </c>
      <c r="D21" s="527" t="s">
        <v>718</v>
      </c>
      <c r="E21" s="528" t="s">
        <v>734</v>
      </c>
      <c r="H21" s="529" t="s">
        <v>899</v>
      </c>
      <c r="I21" s="529" t="s">
        <v>900</v>
      </c>
      <c r="J21" s="528" t="s">
        <v>1075</v>
      </c>
      <c r="K21" s="530" t="s">
        <v>1075</v>
      </c>
      <c r="L21" s="531" t="s">
        <v>1074</v>
      </c>
      <c r="M21" s="529"/>
      <c r="N21" s="29"/>
      <c r="O21" s="29"/>
      <c r="P21" s="29"/>
    </row>
    <row r="22" spans="1:17" ht="13.5" thickTop="1" x14ac:dyDescent="0.2">
      <c r="A22" s="548"/>
      <c r="B22" s="549"/>
      <c r="C22" s="536"/>
      <c r="D22" s="536"/>
      <c r="E22" s="536"/>
      <c r="H22" s="537"/>
      <c r="I22" s="560"/>
      <c r="J22" s="561"/>
      <c r="K22" s="559"/>
      <c r="L22" s="538"/>
      <c r="M22" s="539"/>
      <c r="N22" s="29"/>
      <c r="O22" s="29"/>
      <c r="P22" s="29"/>
    </row>
    <row r="23" spans="1:17" ht="13.5" thickBot="1" x14ac:dyDescent="0.25">
      <c r="A23" s="551">
        <v>5113</v>
      </c>
      <c r="B23" s="540" t="s">
        <v>103</v>
      </c>
      <c r="C23" s="542">
        <v>5490</v>
      </c>
      <c r="D23" s="542">
        <v>5490</v>
      </c>
      <c r="E23" s="542">
        <v>5490</v>
      </c>
      <c r="H23" s="555">
        <f>+J9</f>
        <v>5765</v>
      </c>
      <c r="I23" s="728">
        <f>+L9</f>
        <v>5765</v>
      </c>
      <c r="J23" s="539">
        <f>+I23-H23</f>
        <v>0</v>
      </c>
      <c r="K23" s="545" t="str">
        <f>IF(H23+I23&lt;&gt;0,IF(H23&lt;&gt;0,IF(J23&lt;&gt;0,ROUND((+J23/H23),4),""),1),"")</f>
        <v/>
      </c>
      <c r="L23" s="538"/>
      <c r="M23" s="539"/>
      <c r="N23" s="29"/>
      <c r="O23" s="29"/>
      <c r="P23" s="29"/>
    </row>
    <row r="24" spans="1:17" hidden="1" x14ac:dyDescent="0.2">
      <c r="A24" s="551">
        <v>5380</v>
      </c>
      <c r="B24" s="540" t="s">
        <v>763</v>
      </c>
      <c r="C24" s="546">
        <v>100</v>
      </c>
      <c r="D24" s="546">
        <v>100</v>
      </c>
      <c r="E24" s="546">
        <v>100</v>
      </c>
      <c r="H24" s="547"/>
      <c r="I24" s="546"/>
      <c r="J24" s="547"/>
      <c r="K24" s="546"/>
      <c r="L24" s="547"/>
      <c r="M24" s="547"/>
      <c r="N24" s="29"/>
      <c r="O24" s="29"/>
      <c r="P24" s="29"/>
    </row>
    <row r="25" spans="1:17" ht="13.5" hidden="1" thickBot="1" x14ac:dyDescent="0.25">
      <c r="A25" s="551">
        <v>5420</v>
      </c>
      <c r="B25" s="540" t="s">
        <v>665</v>
      </c>
      <c r="C25" s="542"/>
      <c r="D25" s="542"/>
      <c r="E25" s="542"/>
      <c r="H25" s="555"/>
      <c r="I25" s="542"/>
      <c r="J25" s="555"/>
      <c r="K25" s="542"/>
      <c r="L25" s="555"/>
      <c r="M25" s="555"/>
      <c r="N25" s="29"/>
      <c r="O25" s="29"/>
      <c r="P25" s="29"/>
    </row>
    <row r="26" spans="1:17" x14ac:dyDescent="0.2">
      <c r="A26" s="4"/>
      <c r="B26" s="4"/>
      <c r="C26" s="25"/>
      <c r="D26" s="25"/>
      <c r="E26" s="25"/>
      <c r="F26" s="25"/>
      <c r="G26" s="25"/>
      <c r="H26" s="25"/>
      <c r="I26" s="25"/>
      <c r="J26" s="25"/>
      <c r="K26" s="29"/>
      <c r="L26" s="25"/>
      <c r="M26" s="25"/>
      <c r="N26" s="29"/>
      <c r="O26" s="29"/>
      <c r="P26" s="29"/>
    </row>
    <row r="27" spans="1:17" x14ac:dyDescent="0.2">
      <c r="A27" s="4"/>
      <c r="B27" s="4" t="s">
        <v>1600</v>
      </c>
      <c r="C27" s="25"/>
      <c r="D27" s="25"/>
      <c r="E27" s="25"/>
      <c r="F27" s="25"/>
      <c r="G27" s="25"/>
      <c r="H27" s="849">
        <f>SUM(H23:H26)</f>
        <v>5765</v>
      </c>
      <c r="I27" s="849">
        <f>SUM(I23:I26)</f>
        <v>5765</v>
      </c>
      <c r="J27" s="208">
        <f t="shared" ref="J27" si="4">+I27-H27</f>
        <v>0</v>
      </c>
      <c r="K27" s="850" t="str">
        <f t="shared" ref="K27" si="5">IF(H27+I27&lt;&gt;0,IF(H27&lt;&gt;0,IF(J27&lt;&gt;0,ROUND((+J27/H27),4),""),1),"")</f>
        <v/>
      </c>
      <c r="L27" s="25"/>
      <c r="M27" s="25"/>
      <c r="N27" s="29"/>
      <c r="O27" s="29"/>
      <c r="P27" s="29"/>
    </row>
    <row r="28" spans="1:17" x14ac:dyDescent="0.2">
      <c r="A28" s="4"/>
      <c r="B28" s="4"/>
      <c r="C28" s="25"/>
      <c r="D28" s="25"/>
      <c r="E28" s="25"/>
      <c r="F28" s="25"/>
      <c r="G28" s="25"/>
      <c r="H28" s="25"/>
      <c r="I28" s="25"/>
      <c r="J28" s="25"/>
      <c r="K28" s="29"/>
      <c r="L28" s="25"/>
      <c r="M28" s="25"/>
      <c r="N28" s="29"/>
      <c r="O28" s="29"/>
      <c r="P28" s="29"/>
    </row>
    <row r="29" spans="1:17" x14ac:dyDescent="0.2">
      <c r="A29" s="4"/>
      <c r="B29" s="4"/>
      <c r="C29" s="25"/>
      <c r="D29" s="25"/>
      <c r="E29" s="25"/>
      <c r="F29" s="25"/>
      <c r="G29" s="25"/>
      <c r="H29" s="25"/>
      <c r="I29" s="25"/>
      <c r="J29" s="25"/>
      <c r="K29" s="29"/>
      <c r="L29" s="25"/>
      <c r="M29" s="25"/>
      <c r="N29" s="29"/>
      <c r="O29" s="29"/>
      <c r="P29" s="29"/>
    </row>
    <row r="30" spans="1:17" x14ac:dyDescent="0.2">
      <c r="A30" s="4"/>
      <c r="B30" s="4"/>
      <c r="C30" s="25"/>
      <c r="D30" s="25"/>
      <c r="E30" s="25"/>
      <c r="F30" s="25"/>
      <c r="G30" s="25"/>
      <c r="H30" s="25"/>
      <c r="I30" s="25"/>
      <c r="J30" s="25"/>
      <c r="K30" s="29"/>
      <c r="L30" s="25"/>
      <c r="M30" s="25"/>
      <c r="N30" s="29"/>
      <c r="O30" s="29"/>
      <c r="P30" s="29"/>
    </row>
    <row r="31" spans="1:17" x14ac:dyDescent="0.2">
      <c r="A31" s="4"/>
      <c r="B31" s="4"/>
      <c r="C31" s="25"/>
      <c r="D31" s="25"/>
      <c r="E31" s="25"/>
      <c r="F31" s="25"/>
      <c r="G31" s="25"/>
      <c r="H31" s="25"/>
      <c r="I31" s="25"/>
      <c r="J31" s="25"/>
      <c r="K31" s="29"/>
      <c r="L31" s="25"/>
      <c r="M31" s="25"/>
      <c r="N31" s="29"/>
      <c r="O31" s="29"/>
      <c r="P31" s="29"/>
    </row>
    <row r="32" spans="1:17" x14ac:dyDescent="0.2">
      <c r="A32" s="4"/>
      <c r="B32" s="4"/>
      <c r="C32" s="25"/>
      <c r="D32" s="25"/>
      <c r="E32" s="25"/>
      <c r="F32" s="25"/>
      <c r="G32" s="25"/>
      <c r="H32" s="25"/>
      <c r="I32" s="25"/>
      <c r="J32" s="25"/>
      <c r="K32" s="29"/>
      <c r="L32" s="25"/>
      <c r="M32" s="25"/>
      <c r="N32" s="29"/>
      <c r="O32" s="29"/>
      <c r="P32" s="29"/>
    </row>
    <row r="33" spans="1:16" x14ac:dyDescent="0.2">
      <c r="A33" s="4"/>
      <c r="B33" s="4"/>
      <c r="C33" s="25"/>
      <c r="D33" s="25"/>
      <c r="E33" s="25"/>
      <c r="F33" s="25"/>
      <c r="G33" s="25"/>
      <c r="H33" s="25"/>
      <c r="I33" s="25"/>
      <c r="J33" s="25"/>
      <c r="K33" s="29"/>
      <c r="L33" s="25"/>
      <c r="M33" s="25"/>
      <c r="N33" s="29"/>
      <c r="O33" s="29"/>
      <c r="P33" s="29"/>
    </row>
    <row r="34" spans="1:16" x14ac:dyDescent="0.2">
      <c r="A34" s="4"/>
      <c r="B34" s="4"/>
      <c r="C34" s="25"/>
      <c r="D34" s="25"/>
      <c r="E34" s="25"/>
      <c r="F34" s="25"/>
      <c r="G34" s="25"/>
      <c r="H34" s="25"/>
      <c r="I34" s="25"/>
      <c r="J34" s="25"/>
      <c r="K34" s="29"/>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4"/>
      <c r="L40" s="25"/>
      <c r="M40" s="25"/>
      <c r="N40" s="4"/>
      <c r="O40" s="4"/>
      <c r="P40" s="4"/>
    </row>
    <row r="41" spans="1:16" x14ac:dyDescent="0.2">
      <c r="A41" s="4"/>
      <c r="B41" s="4"/>
      <c r="C41" s="25"/>
      <c r="D41" s="25"/>
      <c r="E41" s="25"/>
      <c r="F41" s="25"/>
      <c r="G41" s="25"/>
      <c r="H41" s="25"/>
      <c r="I41" s="25"/>
      <c r="J41" s="25"/>
      <c r="K41" s="4"/>
      <c r="L41" s="25"/>
      <c r="M41" s="25"/>
      <c r="N41" s="4"/>
      <c r="O41" s="4"/>
      <c r="P41" s="4"/>
    </row>
    <row r="42" spans="1:16" x14ac:dyDescent="0.2">
      <c r="A42" s="4"/>
      <c r="B42" s="4"/>
      <c r="C42" s="25"/>
      <c r="D42" s="25"/>
      <c r="E42" s="25"/>
      <c r="F42" s="25"/>
      <c r="G42" s="25"/>
      <c r="H42" s="25"/>
      <c r="I42" s="25"/>
      <c r="J42" s="25"/>
      <c r="K42" s="4"/>
      <c r="L42" s="25"/>
      <c r="M42" s="25"/>
      <c r="N42" s="4"/>
      <c r="O42" s="4"/>
      <c r="P42" s="4"/>
    </row>
    <row r="43" spans="1:16" x14ac:dyDescent="0.2">
      <c r="A43" s="4"/>
      <c r="B43" s="4"/>
      <c r="C43" s="25"/>
      <c r="D43" s="25"/>
      <c r="E43" s="25"/>
      <c r="F43" s="25"/>
      <c r="G43" s="25"/>
      <c r="H43" s="25"/>
      <c r="I43" s="25"/>
      <c r="J43" s="25"/>
      <c r="K43" s="4"/>
      <c r="L43" s="25"/>
      <c r="M43" s="25"/>
      <c r="N43" s="4"/>
      <c r="O43" s="4"/>
      <c r="P43" s="4"/>
    </row>
    <row r="44" spans="1:16" x14ac:dyDescent="0.2">
      <c r="A44" s="4"/>
      <c r="B44" s="4"/>
      <c r="C44" s="25"/>
      <c r="D44" s="25"/>
      <c r="E44" s="25"/>
      <c r="F44" s="25"/>
      <c r="G44" s="25"/>
      <c r="H44" s="25"/>
      <c r="I44" s="25"/>
      <c r="J44" s="25"/>
      <c r="K44" s="4"/>
      <c r="L44" s="25"/>
      <c r="M44" s="25"/>
      <c r="N44" s="4"/>
      <c r="O44" s="4"/>
      <c r="P44" s="4"/>
    </row>
    <row r="45" spans="1:16" x14ac:dyDescent="0.2">
      <c r="A45" s="4"/>
      <c r="B45" s="4"/>
      <c r="C45" s="25"/>
      <c r="D45" s="25"/>
      <c r="E45" s="25"/>
      <c r="F45" s="25"/>
      <c r="G45" s="25"/>
      <c r="H45" s="25"/>
      <c r="I45" s="25"/>
      <c r="J45" s="25"/>
      <c r="K45" s="4"/>
      <c r="L45" s="25"/>
      <c r="M45" s="25"/>
      <c r="N45" s="4"/>
      <c r="O45" s="4"/>
      <c r="P45" s="4"/>
    </row>
    <row r="46" spans="1:16" x14ac:dyDescent="0.2">
      <c r="A46" s="4"/>
      <c r="B46" s="4"/>
      <c r="C46" s="25"/>
      <c r="D46" s="25"/>
      <c r="E46" s="25"/>
      <c r="F46" s="25"/>
      <c r="G46" s="25"/>
      <c r="H46" s="25"/>
      <c r="I46" s="25"/>
      <c r="J46" s="25"/>
      <c r="K46" s="4"/>
      <c r="L46" s="25"/>
      <c r="M46" s="25"/>
      <c r="N46" s="4"/>
      <c r="O46" s="4"/>
      <c r="P46" s="4"/>
    </row>
    <row r="47" spans="1:16" x14ac:dyDescent="0.2">
      <c r="A47" s="4"/>
      <c r="B47" s="4"/>
      <c r="C47" s="25"/>
      <c r="D47" s="25"/>
      <c r="E47" s="25"/>
      <c r="F47" s="25"/>
      <c r="G47" s="25"/>
      <c r="H47" s="25"/>
      <c r="I47" s="25"/>
      <c r="J47" s="25"/>
      <c r="K47" s="4"/>
      <c r="L47" s="25"/>
      <c r="M47" s="25"/>
      <c r="N47" s="4"/>
      <c r="O47" s="4"/>
      <c r="P47" s="4"/>
    </row>
    <row r="48" spans="1:16" x14ac:dyDescent="0.2">
      <c r="A48" s="4"/>
      <c r="B48" s="4"/>
      <c r="C48" s="25"/>
      <c r="D48" s="25"/>
      <c r="E48" s="25"/>
      <c r="F48" s="25"/>
      <c r="G48" s="25"/>
      <c r="H48" s="25"/>
      <c r="I48" s="25"/>
      <c r="J48" s="25"/>
      <c r="K48" s="4"/>
      <c r="L48" s="25"/>
      <c r="M48" s="25"/>
      <c r="N48" s="4"/>
      <c r="O48" s="4"/>
      <c r="P48" s="4"/>
    </row>
    <row r="49" spans="1:16" x14ac:dyDescent="0.2">
      <c r="A49" s="4"/>
      <c r="B49" s="4"/>
      <c r="C49" s="25"/>
      <c r="D49" s="25"/>
      <c r="E49" s="25"/>
      <c r="F49" s="25"/>
      <c r="G49" s="25"/>
      <c r="H49" s="25"/>
      <c r="I49" s="25"/>
      <c r="J49" s="25"/>
      <c r="K49" s="4"/>
      <c r="L49" s="25"/>
      <c r="M49" s="25"/>
      <c r="N49" s="4"/>
      <c r="O49" s="4"/>
      <c r="P49" s="4"/>
    </row>
    <row r="50" spans="1:16" x14ac:dyDescent="0.2">
      <c r="A50" s="4"/>
      <c r="B50" s="4"/>
      <c r="C50" s="25"/>
      <c r="D50" s="25"/>
      <c r="E50" s="25"/>
      <c r="F50" s="25"/>
      <c r="G50" s="25"/>
      <c r="H50" s="25"/>
      <c r="I50" s="25"/>
      <c r="J50" s="25"/>
      <c r="K50" s="4"/>
      <c r="L50" s="25"/>
      <c r="M50" s="25"/>
      <c r="N50" s="4"/>
      <c r="O50" s="4"/>
      <c r="P50" s="4"/>
    </row>
    <row r="51" spans="1:16" x14ac:dyDescent="0.2">
      <c r="A51" s="4"/>
      <c r="B51" s="4"/>
      <c r="C51" s="25"/>
      <c r="D51" s="25"/>
      <c r="E51" s="25"/>
      <c r="F51" s="25"/>
      <c r="G51" s="25"/>
      <c r="H51" s="25"/>
      <c r="I51" s="25"/>
      <c r="J51" s="25"/>
      <c r="K51" s="4"/>
      <c r="L51" s="25"/>
      <c r="M51" s="25"/>
      <c r="N51" s="4"/>
      <c r="O51" s="4"/>
      <c r="P51" s="4"/>
    </row>
    <row r="52" spans="1:16" x14ac:dyDescent="0.2">
      <c r="A52" s="4"/>
      <c r="B52" s="4"/>
      <c r="C52" s="25"/>
      <c r="D52" s="25"/>
      <c r="E52" s="25"/>
      <c r="F52" s="25"/>
      <c r="G52" s="25"/>
      <c r="H52" s="25"/>
      <c r="I52" s="25"/>
      <c r="J52" s="25"/>
      <c r="K52" s="4"/>
      <c r="L52" s="25"/>
      <c r="M52" s="25"/>
      <c r="N52" s="4"/>
      <c r="O52" s="4"/>
      <c r="P52" s="4"/>
    </row>
    <row r="53" spans="1:16" x14ac:dyDescent="0.2">
      <c r="A53" s="4"/>
      <c r="B53" s="4"/>
      <c r="C53" s="25"/>
      <c r="D53" s="25"/>
      <c r="E53" s="25"/>
      <c r="F53" s="25"/>
      <c r="G53" s="25"/>
      <c r="H53" s="25"/>
      <c r="I53" s="25"/>
      <c r="J53" s="25"/>
      <c r="K53" s="4"/>
      <c r="L53" s="25"/>
      <c r="M53" s="25"/>
      <c r="N53" s="4"/>
      <c r="O53" s="4"/>
      <c r="P53" s="4"/>
    </row>
    <row r="54" spans="1:16" x14ac:dyDescent="0.2">
      <c r="A54" s="4"/>
      <c r="B54" s="4"/>
      <c r="C54" s="25"/>
      <c r="D54" s="25"/>
      <c r="E54" s="25"/>
      <c r="F54" s="25"/>
      <c r="G54" s="25"/>
      <c r="H54" s="25"/>
      <c r="I54" s="25"/>
      <c r="J54" s="25"/>
      <c r="K54" s="4"/>
      <c r="L54" s="25"/>
      <c r="M54" s="25"/>
      <c r="N54" s="4"/>
      <c r="O54" s="4"/>
      <c r="P54" s="4"/>
    </row>
    <row r="55" spans="1:16" x14ac:dyDescent="0.2">
      <c r="A55" s="4"/>
      <c r="B55" s="4"/>
      <c r="C55" s="25"/>
      <c r="D55" s="25"/>
      <c r="E55" s="25"/>
      <c r="F55" s="25"/>
      <c r="G55" s="25"/>
      <c r="H55" s="25"/>
      <c r="I55" s="25"/>
      <c r="J55" s="25"/>
      <c r="K55" s="4"/>
      <c r="L55" s="25"/>
      <c r="M55" s="25"/>
      <c r="N55" s="4"/>
      <c r="O55" s="4"/>
      <c r="P55" s="4"/>
    </row>
    <row r="56" spans="1:16" x14ac:dyDescent="0.2">
      <c r="A56" s="4"/>
      <c r="B56" s="4"/>
      <c r="C56" s="25"/>
      <c r="D56" s="25"/>
      <c r="E56" s="25"/>
      <c r="F56" s="25"/>
      <c r="G56" s="25"/>
      <c r="H56" s="25"/>
      <c r="I56" s="25"/>
      <c r="J56" s="25"/>
      <c r="K56" s="4"/>
      <c r="L56" s="25"/>
      <c r="M56" s="25"/>
      <c r="N56" s="4"/>
      <c r="O56" s="4"/>
      <c r="P56" s="4"/>
    </row>
    <row r="57" spans="1:16" x14ac:dyDescent="0.2">
      <c r="A57" s="4"/>
      <c r="B57" s="4"/>
      <c r="C57" s="25"/>
      <c r="D57" s="25"/>
      <c r="E57" s="25"/>
      <c r="F57" s="25"/>
      <c r="G57" s="25"/>
      <c r="H57" s="25"/>
      <c r="I57" s="25"/>
      <c r="J57" s="25"/>
      <c r="K57" s="4"/>
      <c r="L57" s="25"/>
      <c r="M57" s="25"/>
      <c r="N57" s="4"/>
      <c r="O57" s="4"/>
      <c r="P57" s="4"/>
    </row>
    <row r="58" spans="1:16" x14ac:dyDescent="0.2">
      <c r="A58" s="4"/>
      <c r="B58" s="4"/>
      <c r="C58" s="25"/>
      <c r="D58" s="25"/>
      <c r="E58" s="25"/>
      <c r="F58" s="25"/>
      <c r="G58" s="25"/>
      <c r="H58" s="25"/>
      <c r="I58" s="25"/>
      <c r="J58" s="25"/>
      <c r="K58" s="4"/>
      <c r="L58" s="25"/>
      <c r="M58" s="25"/>
      <c r="N58" s="4"/>
      <c r="O58" s="4"/>
      <c r="P58" s="4"/>
    </row>
    <row r="59" spans="1:16" x14ac:dyDescent="0.2">
      <c r="A59" s="4"/>
      <c r="B59" s="4"/>
      <c r="C59" s="25"/>
      <c r="D59" s="25"/>
      <c r="E59" s="25"/>
      <c r="F59" s="25"/>
      <c r="G59" s="25"/>
      <c r="H59" s="25"/>
      <c r="I59" s="25"/>
      <c r="J59" s="25"/>
      <c r="K59" s="4"/>
      <c r="L59" s="25"/>
      <c r="M59" s="25"/>
      <c r="N59" s="4"/>
      <c r="O59" s="4"/>
      <c r="P59" s="4"/>
    </row>
    <row r="60" spans="1:16" x14ac:dyDescent="0.2">
      <c r="A60" s="4"/>
      <c r="B60" s="4"/>
      <c r="C60" s="25"/>
      <c r="D60" s="25"/>
      <c r="E60" s="25"/>
      <c r="F60" s="25"/>
      <c r="G60" s="25"/>
      <c r="H60" s="25"/>
      <c r="I60" s="25"/>
      <c r="J60" s="25"/>
      <c r="K60" s="4"/>
      <c r="L60" s="25"/>
      <c r="M60" s="25"/>
      <c r="N60" s="4"/>
      <c r="O60" s="4"/>
      <c r="P60" s="4"/>
    </row>
    <row r="61" spans="1:16" x14ac:dyDescent="0.2">
      <c r="A61" s="4"/>
      <c r="B61" s="4"/>
      <c r="C61" s="25"/>
      <c r="D61" s="25"/>
      <c r="E61" s="25"/>
      <c r="F61" s="25"/>
      <c r="G61" s="25"/>
      <c r="H61" s="25"/>
      <c r="I61" s="25"/>
      <c r="J61" s="25"/>
      <c r="K61" s="4"/>
      <c r="L61" s="25"/>
      <c r="M61" s="25"/>
      <c r="N61" s="4"/>
      <c r="O61" s="4"/>
      <c r="P61" s="4"/>
    </row>
    <row r="62" spans="1:16" x14ac:dyDescent="0.2">
      <c r="A62" s="4"/>
      <c r="B62" s="4"/>
      <c r="C62" s="25"/>
      <c r="D62" s="25"/>
      <c r="E62" s="25"/>
      <c r="F62" s="25"/>
      <c r="G62" s="25"/>
      <c r="H62" s="25"/>
      <c r="I62" s="25"/>
      <c r="J62" s="25"/>
      <c r="K62" s="4"/>
      <c r="L62" s="25"/>
      <c r="M62" s="25"/>
      <c r="N62" s="4"/>
      <c r="O62" s="4"/>
      <c r="P62" s="4"/>
    </row>
    <row r="63" spans="1:16" x14ac:dyDescent="0.2">
      <c r="A63" s="4"/>
      <c r="B63" s="4"/>
      <c r="C63" s="25"/>
      <c r="D63" s="25"/>
      <c r="E63" s="25"/>
      <c r="F63" s="25"/>
      <c r="G63" s="25"/>
      <c r="H63" s="25"/>
      <c r="I63" s="25"/>
      <c r="J63" s="25"/>
      <c r="K63" s="4"/>
      <c r="L63" s="25"/>
      <c r="M63" s="25"/>
      <c r="N63" s="4"/>
      <c r="O63" s="4"/>
      <c r="P63" s="4"/>
    </row>
    <row r="64" spans="1:16" x14ac:dyDescent="0.2">
      <c r="A64" s="4"/>
      <c r="B64" s="4"/>
      <c r="C64" s="25"/>
      <c r="D64" s="25"/>
      <c r="E64" s="25"/>
      <c r="F64" s="25"/>
      <c r="G64" s="25"/>
      <c r="H64" s="25"/>
      <c r="I64" s="25"/>
      <c r="J64" s="25"/>
      <c r="K64" s="4"/>
      <c r="L64" s="25"/>
      <c r="M64" s="25"/>
      <c r="N64" s="4"/>
      <c r="O64" s="4"/>
      <c r="P64" s="4"/>
    </row>
    <row r="65" spans="1:16" x14ac:dyDescent="0.2">
      <c r="A65" s="4"/>
      <c r="B65" s="4"/>
      <c r="C65" s="25"/>
      <c r="D65" s="25"/>
      <c r="E65" s="25"/>
      <c r="F65" s="25"/>
      <c r="G65" s="25"/>
      <c r="H65" s="25"/>
      <c r="I65" s="25"/>
      <c r="J65" s="25"/>
      <c r="K65" s="4"/>
      <c r="L65" s="25"/>
      <c r="M65" s="25"/>
      <c r="N65" s="4"/>
      <c r="O65" s="4"/>
      <c r="P65" s="4"/>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C105" s="121"/>
    </row>
    <row r="106" spans="1:16" x14ac:dyDescent="0.2">
      <c r="C106" s="121"/>
    </row>
    <row r="107" spans="1:16" x14ac:dyDescent="0.2">
      <c r="C107" s="121"/>
    </row>
    <row r="108" spans="1:16" x14ac:dyDescent="0.2">
      <c r="C108" s="121"/>
    </row>
    <row r="109" spans="1:16" x14ac:dyDescent="0.2">
      <c r="C109" s="121"/>
    </row>
    <row r="110" spans="1:16" x14ac:dyDescent="0.2">
      <c r="C110" s="121"/>
    </row>
    <row r="111" spans="1:16" x14ac:dyDescent="0.2">
      <c r="C111" s="121"/>
    </row>
    <row r="112" spans="1:16"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row r="128" spans="3:3"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horizontalDpi="300" verticalDpi="300" r:id="rId1"/>
  <headerFooter alignWithMargins="0">
    <oddFooter>&amp;L&amp;D     &amp;T&amp;C&amp;F&amp;R&amp;A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8"/>
  <sheetViews>
    <sheetView zoomScale="85" workbookViewId="0">
      <pane ySplit="7" topLeftCell="A10" activePane="bottomLeft" state="frozen"/>
      <selection activeCell="K15" sqref="K15"/>
      <selection pane="bottomLeft" activeCell="K15" sqref="K15"/>
    </sheetView>
  </sheetViews>
  <sheetFormatPr defaultRowHeight="12.75" x14ac:dyDescent="0.2"/>
  <cols>
    <col min="1" max="1" width="10.83203125" bestFit="1" customWidth="1"/>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7" x14ac:dyDescent="0.2">
      <c r="A1" s="410" t="s">
        <v>1013</v>
      </c>
      <c r="B1" s="410" t="s">
        <v>1418</v>
      </c>
      <c r="M1"/>
    </row>
    <row r="2" spans="1:17" ht="15" x14ac:dyDescent="0.25">
      <c r="A2" s="49" t="s">
        <v>256</v>
      </c>
      <c r="B2" s="49"/>
      <c r="E2" s="153"/>
      <c r="H2" s="153" t="s">
        <v>252</v>
      </c>
      <c r="I2" s="153"/>
      <c r="J2" s="153"/>
      <c r="K2" s="67" t="s">
        <v>294</v>
      </c>
      <c r="M2" s="50" t="s">
        <v>483</v>
      </c>
    </row>
    <row r="3" spans="1:17" ht="13.5" thickBot="1" x14ac:dyDescent="0.25">
      <c r="A3" s="4"/>
      <c r="B3" s="4"/>
      <c r="C3" s="25"/>
      <c r="D3" s="25"/>
      <c r="E3" s="25"/>
      <c r="F3" s="25"/>
      <c r="G3" s="25"/>
      <c r="H3" s="25"/>
      <c r="I3" s="25"/>
      <c r="J3" s="25"/>
      <c r="K3" s="4"/>
      <c r="L3" s="25"/>
      <c r="M3" s="4"/>
      <c r="P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318"/>
      <c r="J5" s="318"/>
      <c r="K5" s="120" t="s">
        <v>509</v>
      </c>
      <c r="L5" s="95" t="s">
        <v>7</v>
      </c>
      <c r="M5" s="209" t="s">
        <v>783</v>
      </c>
    </row>
    <row r="6" spans="1:17" x14ac:dyDescent="0.2">
      <c r="A6" s="93"/>
      <c r="B6" s="216"/>
      <c r="C6" s="137"/>
      <c r="D6" s="137"/>
      <c r="E6" s="137"/>
      <c r="F6" s="137"/>
      <c r="G6" s="137"/>
      <c r="H6" s="137"/>
      <c r="I6" s="95"/>
      <c r="J6" s="95"/>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7" ht="13.5" thickTop="1" x14ac:dyDescent="0.2">
      <c r="A8" s="30"/>
      <c r="B8" s="218"/>
      <c r="C8" s="142"/>
      <c r="D8" s="19"/>
      <c r="E8" s="19"/>
      <c r="F8" s="19"/>
      <c r="G8" s="19"/>
      <c r="H8" s="19"/>
      <c r="I8" s="20"/>
      <c r="J8" s="20"/>
      <c r="K8" s="19"/>
      <c r="L8" s="20"/>
      <c r="M8" s="20"/>
    </row>
    <row r="9" spans="1:17" x14ac:dyDescent="0.2">
      <c r="A9" s="12">
        <v>5247</v>
      </c>
      <c r="B9" s="69" t="s">
        <v>88</v>
      </c>
      <c r="C9" s="140">
        <v>3000</v>
      </c>
      <c r="D9" s="156">
        <v>0</v>
      </c>
      <c r="E9" s="156">
        <v>300</v>
      </c>
      <c r="F9" s="156">
        <v>300</v>
      </c>
      <c r="G9" s="156">
        <v>395</v>
      </c>
      <c r="H9" s="156">
        <v>387.1</v>
      </c>
      <c r="I9" s="156">
        <v>387.1</v>
      </c>
      <c r="J9" s="132">
        <v>395</v>
      </c>
      <c r="K9" s="14"/>
      <c r="L9" s="132">
        <v>395</v>
      </c>
      <c r="M9" s="132"/>
    </row>
    <row r="10" spans="1:17" x14ac:dyDescent="0.2">
      <c r="A10" s="12">
        <v>5300</v>
      </c>
      <c r="B10" s="69" t="s">
        <v>721</v>
      </c>
      <c r="C10" s="140"/>
      <c r="D10" s="156">
        <v>1050</v>
      </c>
      <c r="E10" s="156">
        <v>800</v>
      </c>
      <c r="F10" s="156"/>
      <c r="G10" s="156">
        <v>800</v>
      </c>
      <c r="H10" s="156">
        <v>800</v>
      </c>
      <c r="I10" s="156">
        <v>800</v>
      </c>
      <c r="J10" s="132">
        <v>800</v>
      </c>
      <c r="K10" s="14">
        <v>800</v>
      </c>
      <c r="L10" s="132">
        <v>800</v>
      </c>
      <c r="M10" s="132"/>
    </row>
    <row r="11" spans="1:17" x14ac:dyDescent="0.2">
      <c r="A11" s="12">
        <v>5310</v>
      </c>
      <c r="B11" s="69" t="s">
        <v>179</v>
      </c>
      <c r="C11" s="140">
        <v>575</v>
      </c>
      <c r="D11" s="156">
        <v>322.38</v>
      </c>
      <c r="E11" s="156">
        <v>169.5</v>
      </c>
      <c r="F11" s="156">
        <v>261.10000000000002</v>
      </c>
      <c r="G11" s="156"/>
      <c r="H11" s="156"/>
      <c r="I11" s="156">
        <v>0</v>
      </c>
      <c r="J11" s="132">
        <v>500</v>
      </c>
      <c r="K11" s="14">
        <v>490</v>
      </c>
      <c r="L11" s="132">
        <v>500</v>
      </c>
      <c r="M11" s="132"/>
    </row>
    <row r="12" spans="1:17" x14ac:dyDescent="0.2">
      <c r="A12" s="12">
        <v>5344</v>
      </c>
      <c r="B12" s="69" t="s">
        <v>137</v>
      </c>
      <c r="C12" s="140">
        <v>59.4</v>
      </c>
      <c r="D12" s="156">
        <v>61.64</v>
      </c>
      <c r="E12" s="156">
        <v>19.149999999999999</v>
      </c>
      <c r="F12" s="156"/>
      <c r="G12" s="156">
        <v>128.81</v>
      </c>
      <c r="H12" s="156"/>
      <c r="I12" s="156">
        <v>655.45</v>
      </c>
      <c r="J12" s="132">
        <v>150</v>
      </c>
      <c r="K12" s="14"/>
      <c r="L12" s="132">
        <v>150</v>
      </c>
      <c r="M12" s="132"/>
    </row>
    <row r="13" spans="1:17" x14ac:dyDescent="0.2">
      <c r="A13" s="12">
        <v>5351</v>
      </c>
      <c r="B13" s="69" t="s">
        <v>89</v>
      </c>
      <c r="C13" s="142">
        <v>100</v>
      </c>
      <c r="D13" s="136">
        <v>100</v>
      </c>
      <c r="E13" s="136">
        <v>100</v>
      </c>
      <c r="F13" s="136">
        <v>100</v>
      </c>
      <c r="G13" s="136">
        <v>100</v>
      </c>
      <c r="H13" s="136">
        <v>100</v>
      </c>
      <c r="I13" s="136">
        <v>100</v>
      </c>
      <c r="J13" s="134">
        <v>100</v>
      </c>
      <c r="K13" s="19"/>
      <c r="L13" s="134">
        <v>100</v>
      </c>
      <c r="M13" s="134"/>
    </row>
    <row r="14" spans="1:17" x14ac:dyDescent="0.2">
      <c r="A14" s="12">
        <v>5380</v>
      </c>
      <c r="B14" s="69" t="s">
        <v>733</v>
      </c>
      <c r="C14" s="142"/>
      <c r="D14" s="136">
        <v>10553.43</v>
      </c>
      <c r="E14" s="136">
        <v>14804.76</v>
      </c>
      <c r="F14" s="136">
        <v>15704.88</v>
      </c>
      <c r="G14" s="136">
        <v>16389.04</v>
      </c>
      <c r="H14" s="136">
        <v>16758.32</v>
      </c>
      <c r="I14" s="136">
        <v>17011.04</v>
      </c>
      <c r="J14" s="134">
        <v>17812</v>
      </c>
      <c r="K14" s="19">
        <v>8906.0400000000009</v>
      </c>
      <c r="L14" s="134">
        <v>18169</v>
      </c>
      <c r="M14" s="134"/>
    </row>
    <row r="15" spans="1:17" ht="13.5" thickBot="1" x14ac:dyDescent="0.25">
      <c r="A15" s="12">
        <v>5420</v>
      </c>
      <c r="B15" s="69" t="s">
        <v>90</v>
      </c>
      <c r="C15" s="141">
        <v>135.41</v>
      </c>
      <c r="D15" s="349">
        <v>153.27000000000001</v>
      </c>
      <c r="E15" s="349">
        <v>159</v>
      </c>
      <c r="F15" s="349">
        <v>160.6</v>
      </c>
      <c r="G15" s="349">
        <v>181.75</v>
      </c>
      <c r="H15" s="349">
        <v>236.08</v>
      </c>
      <c r="I15" s="349">
        <v>203</v>
      </c>
      <c r="J15" s="133">
        <v>300</v>
      </c>
      <c r="K15" s="16">
        <v>203</v>
      </c>
      <c r="L15" s="133">
        <v>300</v>
      </c>
      <c r="M15" s="133"/>
    </row>
    <row r="16" spans="1:17" x14ac:dyDescent="0.2">
      <c r="A16" s="12"/>
      <c r="B16" s="70" t="s">
        <v>442</v>
      </c>
      <c r="C16" s="142">
        <f t="shared" ref="C16:K16" si="0">SUM(C9:C15)</f>
        <v>3869.81</v>
      </c>
      <c r="D16" s="19">
        <f t="shared" si="0"/>
        <v>12240.720000000001</v>
      </c>
      <c r="E16" s="19">
        <f t="shared" si="0"/>
        <v>16352.41</v>
      </c>
      <c r="F16" s="19">
        <f>SUM(F9:F15)</f>
        <v>16526.579999999998</v>
      </c>
      <c r="G16" s="19">
        <f>SUM(G9:G15)</f>
        <v>17994.600000000002</v>
      </c>
      <c r="H16" s="19">
        <f>SUM(H9:H15)</f>
        <v>18281.5</v>
      </c>
      <c r="I16" s="19">
        <f>SUM(I9:I15)</f>
        <v>19156.59</v>
      </c>
      <c r="J16" s="20">
        <f>SUM(J9:J15)</f>
        <v>20057</v>
      </c>
      <c r="K16" s="19">
        <f t="shared" si="0"/>
        <v>10399.040000000001</v>
      </c>
      <c r="L16" s="20">
        <f>SUM(L9:L15)</f>
        <v>20414</v>
      </c>
      <c r="M16" s="20">
        <f>SUM(M9:M15)</f>
        <v>0</v>
      </c>
      <c r="Q16"/>
    </row>
    <row r="17" spans="1:17" x14ac:dyDescent="0.2">
      <c r="A17" s="12"/>
      <c r="B17" s="70"/>
      <c r="C17" s="142"/>
      <c r="D17" s="19"/>
      <c r="E17" s="19"/>
      <c r="F17" s="19"/>
      <c r="G17" s="19"/>
      <c r="H17" s="19"/>
      <c r="I17" s="19"/>
      <c r="J17" s="20"/>
      <c r="K17" s="19"/>
      <c r="L17" s="20"/>
      <c r="M17" s="20"/>
      <c r="Q17"/>
    </row>
    <row r="18" spans="1:17" ht="13.5" thickBot="1" x14ac:dyDescent="0.25">
      <c r="A18" s="12">
        <v>5800</v>
      </c>
      <c r="B18" s="69" t="s">
        <v>1026</v>
      </c>
      <c r="C18" s="142"/>
      <c r="D18" s="19"/>
      <c r="E18" s="16"/>
      <c r="F18" s="16"/>
      <c r="G18" s="16"/>
      <c r="H18" s="16">
        <v>7883.74</v>
      </c>
      <c r="I18" s="16"/>
      <c r="J18" s="17"/>
      <c r="K18" s="16"/>
      <c r="L18" s="17"/>
      <c r="M18" s="17"/>
      <c r="Q18"/>
    </row>
    <row r="19" spans="1:17" x14ac:dyDescent="0.2">
      <c r="A19" s="12"/>
      <c r="B19" s="18" t="s">
        <v>131</v>
      </c>
      <c r="C19" s="19"/>
      <c r="D19" s="19"/>
      <c r="E19" s="19"/>
      <c r="F19" s="19"/>
      <c r="G19" s="19"/>
      <c r="H19" s="19">
        <f>SUM(H18)</f>
        <v>7883.74</v>
      </c>
      <c r="I19" s="19">
        <f>+I18</f>
        <v>0</v>
      </c>
      <c r="J19" s="20">
        <f>+J18</f>
        <v>0</v>
      </c>
      <c r="K19" s="19"/>
      <c r="L19" s="20">
        <f>+L18</f>
        <v>0</v>
      </c>
      <c r="M19" s="20"/>
      <c r="Q19"/>
    </row>
    <row r="20" spans="1:17" x14ac:dyDescent="0.2">
      <c r="A20" s="12"/>
      <c r="B20" s="13"/>
      <c r="C20" s="14"/>
      <c r="D20" s="14"/>
      <c r="E20" s="14"/>
      <c r="F20" s="14"/>
      <c r="G20" s="14"/>
      <c r="H20" s="14"/>
      <c r="I20" s="14"/>
      <c r="J20" s="15"/>
      <c r="K20" s="14"/>
      <c r="L20" s="15"/>
      <c r="M20" s="15"/>
      <c r="Q20"/>
    </row>
    <row r="21" spans="1:17" ht="13.5" thickBot="1" x14ac:dyDescent="0.25">
      <c r="A21" s="21"/>
      <c r="B21" s="22" t="s">
        <v>132</v>
      </c>
      <c r="C21" s="23">
        <f>+C16</f>
        <v>3869.81</v>
      </c>
      <c r="D21" s="23">
        <f>+D16</f>
        <v>12240.720000000001</v>
      </c>
      <c r="E21" s="23">
        <f>+E16</f>
        <v>16352.41</v>
      </c>
      <c r="F21" s="23">
        <f>+F16</f>
        <v>16526.579999999998</v>
      </c>
      <c r="G21" s="23">
        <f>+G16</f>
        <v>17994.600000000002</v>
      </c>
      <c r="H21" s="23">
        <f>+H16+H19</f>
        <v>26165.239999999998</v>
      </c>
      <c r="I21" s="23">
        <f>+I16+I19</f>
        <v>19156.59</v>
      </c>
      <c r="J21" s="43">
        <f>+J19+J16</f>
        <v>20057</v>
      </c>
      <c r="K21" s="23">
        <f>+K16</f>
        <v>10399.040000000001</v>
      </c>
      <c r="L21" s="43">
        <f>+L19+L16</f>
        <v>20414</v>
      </c>
      <c r="M21" s="43">
        <f>+L21</f>
        <v>20414</v>
      </c>
      <c r="Q21"/>
    </row>
    <row r="22" spans="1:17" ht="13.5" thickTop="1" x14ac:dyDescent="0.2">
      <c r="A22" s="28"/>
      <c r="B22" s="90"/>
      <c r="C22" s="26"/>
      <c r="D22" s="26"/>
      <c r="E22" s="26"/>
      <c r="F22" s="26"/>
      <c r="G22" s="26"/>
      <c r="H22" s="26"/>
      <c r="I22" s="26"/>
      <c r="J22" s="26"/>
      <c r="K22" s="27"/>
      <c r="L22" s="26"/>
      <c r="M22" s="27"/>
      <c r="O22" s="27"/>
      <c r="P22" s="27"/>
      <c r="Q22"/>
    </row>
    <row r="23" spans="1:17" x14ac:dyDescent="0.2">
      <c r="A23" s="72"/>
      <c r="B23" s="4"/>
      <c r="C23" s="25"/>
      <c r="D23" s="25"/>
      <c r="E23" s="25"/>
      <c r="F23" s="25"/>
      <c r="G23" s="25"/>
      <c r="H23" s="25"/>
      <c r="I23" s="25"/>
      <c r="J23" s="25"/>
      <c r="K23" s="29"/>
      <c r="L23" s="25"/>
      <c r="M23" s="29"/>
      <c r="N23" s="29"/>
      <c r="O23" s="29"/>
      <c r="P23" s="29"/>
      <c r="Q23"/>
    </row>
    <row r="24" spans="1:17" ht="13.5" thickBot="1" x14ac:dyDescent="0.25">
      <c r="A24" s="72"/>
      <c r="B24" s="4"/>
      <c r="C24" s="25"/>
      <c r="D24" s="25"/>
      <c r="E24" s="25"/>
      <c r="F24" s="25"/>
      <c r="G24" s="25"/>
      <c r="H24" s="25"/>
      <c r="I24" s="25"/>
      <c r="J24" s="25"/>
      <c r="K24" s="29"/>
      <c r="L24" s="25"/>
      <c r="M24" s="25"/>
      <c r="N24" s="29"/>
      <c r="O24" s="29"/>
      <c r="P24" s="29"/>
      <c r="Q24"/>
    </row>
    <row r="25" spans="1:17" ht="13.5" thickTop="1" x14ac:dyDescent="0.2">
      <c r="A25" s="517"/>
      <c r="B25" s="518"/>
      <c r="C25" s="519" t="s">
        <v>122</v>
      </c>
      <c r="D25" s="520" t="s">
        <v>122</v>
      </c>
      <c r="E25" s="520" t="s">
        <v>122</v>
      </c>
      <c r="H25" s="521" t="s">
        <v>542</v>
      </c>
      <c r="I25" s="522" t="s">
        <v>9</v>
      </c>
      <c r="J25" s="523" t="s">
        <v>1073</v>
      </c>
      <c r="K25" s="522" t="s">
        <v>682</v>
      </c>
      <c r="L25" s="524"/>
      <c r="M25" s="523"/>
      <c r="N25" s="29"/>
      <c r="O25" s="29"/>
      <c r="P25" s="29"/>
      <c r="Q25"/>
    </row>
    <row r="26" spans="1:17" ht="13.5" thickBot="1" x14ac:dyDescent="0.25">
      <c r="A26" s="525" t="s">
        <v>123</v>
      </c>
      <c r="B26" s="526"/>
      <c r="C26" s="527" t="s">
        <v>334</v>
      </c>
      <c r="D26" s="527" t="s">
        <v>718</v>
      </c>
      <c r="E26" s="528" t="s">
        <v>734</v>
      </c>
      <c r="H26" s="529" t="s">
        <v>899</v>
      </c>
      <c r="I26" s="529" t="s">
        <v>900</v>
      </c>
      <c r="J26" s="528" t="s">
        <v>1075</v>
      </c>
      <c r="K26" s="530" t="s">
        <v>1075</v>
      </c>
      <c r="L26" s="531" t="s">
        <v>1074</v>
      </c>
      <c r="M26" s="529"/>
      <c r="N26" s="29"/>
      <c r="O26" s="29"/>
      <c r="P26" s="29"/>
      <c r="Q26"/>
    </row>
    <row r="27" spans="1:17" ht="13.5" thickTop="1" x14ac:dyDescent="0.2">
      <c r="A27" s="548"/>
      <c r="B27" s="549"/>
      <c r="C27" s="536"/>
      <c r="D27" s="536"/>
      <c r="E27" s="536"/>
      <c r="H27" s="537"/>
      <c r="I27" s="560"/>
      <c r="J27" s="561"/>
      <c r="K27" s="559"/>
      <c r="L27" s="538"/>
      <c r="M27" s="539"/>
      <c r="N27" s="29"/>
      <c r="O27" s="29"/>
      <c r="P27" s="29"/>
      <c r="Q27"/>
    </row>
    <row r="28" spans="1:17" x14ac:dyDescent="0.2">
      <c r="A28" s="551">
        <v>5247</v>
      </c>
      <c r="B28" s="540" t="s">
        <v>88</v>
      </c>
      <c r="C28" s="544">
        <v>3000</v>
      </c>
      <c r="D28" s="544">
        <v>0</v>
      </c>
      <c r="E28" s="544">
        <v>300</v>
      </c>
      <c r="H28" s="543">
        <f>+J9</f>
        <v>395</v>
      </c>
      <c r="I28" s="592">
        <f t="shared" ref="I28:I34" si="1">+L9</f>
        <v>395</v>
      </c>
      <c r="J28" s="539">
        <f>+I28-H28</f>
        <v>0</v>
      </c>
      <c r="K28" s="545" t="str">
        <f t="shared" ref="K28:K35" si="2">IF(H28+I28&lt;&gt;0,IF(H28&lt;&gt;0,IF(J28&lt;&gt;0,ROUND((+J28/H28),4),""),1),"")</f>
        <v/>
      </c>
      <c r="L28" s="538"/>
      <c r="M28" s="539"/>
      <c r="N28" s="29"/>
      <c r="O28" s="29"/>
      <c r="P28" s="29"/>
      <c r="Q28"/>
    </row>
    <row r="29" spans="1:17" x14ac:dyDescent="0.2">
      <c r="A29" s="551">
        <v>5300</v>
      </c>
      <c r="B29" s="540" t="s">
        <v>721</v>
      </c>
      <c r="C29" s="544"/>
      <c r="D29" s="544">
        <v>1050</v>
      </c>
      <c r="E29" s="544">
        <v>800</v>
      </c>
      <c r="H29" s="543">
        <f>+I10</f>
        <v>800</v>
      </c>
      <c r="I29" s="592">
        <f t="shared" si="1"/>
        <v>800</v>
      </c>
      <c r="J29" s="539">
        <f t="shared" ref="J29:J35" si="3">+I29-H29</f>
        <v>0</v>
      </c>
      <c r="K29" s="545" t="str">
        <f t="shared" si="2"/>
        <v/>
      </c>
      <c r="L29" s="538"/>
      <c r="M29" s="539"/>
      <c r="N29" s="29"/>
      <c r="O29" s="29"/>
      <c r="P29" s="29"/>
      <c r="Q29"/>
    </row>
    <row r="30" spans="1:17" x14ac:dyDescent="0.2">
      <c r="A30" s="551">
        <v>5310</v>
      </c>
      <c r="B30" s="540" t="s">
        <v>179</v>
      </c>
      <c r="C30" s="544">
        <v>575</v>
      </c>
      <c r="D30" s="544">
        <v>322.38</v>
      </c>
      <c r="E30" s="544">
        <v>169.5</v>
      </c>
      <c r="H30" s="543">
        <f t="shared" ref="H30:H34" si="4">+J11</f>
        <v>500</v>
      </c>
      <c r="I30" s="592">
        <f t="shared" si="1"/>
        <v>500</v>
      </c>
      <c r="J30" s="539">
        <f t="shared" si="3"/>
        <v>0</v>
      </c>
      <c r="K30" s="545" t="str">
        <f t="shared" si="2"/>
        <v/>
      </c>
      <c r="L30" s="538"/>
      <c r="M30" s="539"/>
      <c r="N30" s="29"/>
      <c r="O30" s="29"/>
      <c r="P30" s="29"/>
      <c r="Q30"/>
    </row>
    <row r="31" spans="1:17" x14ac:dyDescent="0.2">
      <c r="A31" s="551">
        <v>5344</v>
      </c>
      <c r="B31" s="540" t="s">
        <v>137</v>
      </c>
      <c r="C31" s="544">
        <v>59.4</v>
      </c>
      <c r="D31" s="544">
        <v>61.64</v>
      </c>
      <c r="E31" s="544">
        <v>19.149999999999999</v>
      </c>
      <c r="H31" s="543">
        <f t="shared" si="4"/>
        <v>150</v>
      </c>
      <c r="I31" s="592">
        <f t="shared" si="1"/>
        <v>150</v>
      </c>
      <c r="J31" s="539">
        <f t="shared" si="3"/>
        <v>0</v>
      </c>
      <c r="K31" s="545" t="str">
        <f t="shared" si="2"/>
        <v/>
      </c>
      <c r="L31" s="538"/>
      <c r="M31" s="539"/>
      <c r="N31" s="29"/>
      <c r="O31" s="29"/>
      <c r="P31" s="29"/>
      <c r="Q31"/>
    </row>
    <row r="32" spans="1:17" x14ac:dyDescent="0.2">
      <c r="A32" s="551">
        <v>5351</v>
      </c>
      <c r="B32" s="540" t="s">
        <v>89</v>
      </c>
      <c r="C32" s="536">
        <v>100</v>
      </c>
      <c r="D32" s="536">
        <v>100</v>
      </c>
      <c r="E32" s="536">
        <v>100</v>
      </c>
      <c r="H32" s="543">
        <f t="shared" si="4"/>
        <v>100</v>
      </c>
      <c r="I32" s="592">
        <f t="shared" si="1"/>
        <v>100</v>
      </c>
      <c r="J32" s="539">
        <f t="shared" si="3"/>
        <v>0</v>
      </c>
      <c r="K32" s="545" t="str">
        <f t="shared" si="2"/>
        <v/>
      </c>
      <c r="L32" s="538"/>
      <c r="M32" s="539"/>
      <c r="N32" s="29"/>
      <c r="O32" s="29"/>
      <c r="P32" s="29"/>
      <c r="Q32"/>
    </row>
    <row r="33" spans="1:17" x14ac:dyDescent="0.2">
      <c r="A33" s="551">
        <v>5380</v>
      </c>
      <c r="B33" s="540" t="s">
        <v>733</v>
      </c>
      <c r="C33" s="536"/>
      <c r="D33" s="536">
        <v>10553.43</v>
      </c>
      <c r="E33" s="536">
        <v>14804.76</v>
      </c>
      <c r="H33" s="543">
        <f t="shared" si="4"/>
        <v>17812</v>
      </c>
      <c r="I33" s="592">
        <f t="shared" si="1"/>
        <v>18169</v>
      </c>
      <c r="J33" s="539">
        <f t="shared" si="3"/>
        <v>357</v>
      </c>
      <c r="K33" s="545">
        <f t="shared" si="2"/>
        <v>0.02</v>
      </c>
      <c r="L33" s="538"/>
      <c r="M33" s="539"/>
      <c r="N33" s="29"/>
      <c r="O33" s="29"/>
      <c r="P33" s="29"/>
      <c r="Q33"/>
    </row>
    <row r="34" spans="1:17" ht="13.5" thickBot="1" x14ac:dyDescent="0.25">
      <c r="A34" s="551">
        <v>5420</v>
      </c>
      <c r="B34" s="540" t="s">
        <v>90</v>
      </c>
      <c r="C34" s="542">
        <v>135.41</v>
      </c>
      <c r="D34" s="542">
        <v>153.27000000000001</v>
      </c>
      <c r="E34" s="542">
        <v>159</v>
      </c>
      <c r="H34" s="543">
        <f t="shared" si="4"/>
        <v>300</v>
      </c>
      <c r="I34" s="592">
        <f t="shared" si="1"/>
        <v>300</v>
      </c>
      <c r="J34" s="539">
        <f t="shared" si="3"/>
        <v>0</v>
      </c>
      <c r="K34" s="545" t="str">
        <f t="shared" si="2"/>
        <v/>
      </c>
      <c r="L34" s="538"/>
      <c r="M34" s="539"/>
      <c r="N34" s="29"/>
      <c r="O34" s="29"/>
      <c r="P34" s="29"/>
      <c r="Q34"/>
    </row>
    <row r="35" spans="1:17" ht="13.5" thickBot="1" x14ac:dyDescent="0.25">
      <c r="A35" s="551">
        <v>5800</v>
      </c>
      <c r="B35" s="540" t="s">
        <v>1026</v>
      </c>
      <c r="C35" s="536"/>
      <c r="D35" s="536"/>
      <c r="E35" s="542"/>
      <c r="H35" s="543">
        <f>+J18</f>
        <v>0</v>
      </c>
      <c r="I35" s="592">
        <f>+L18</f>
        <v>0</v>
      </c>
      <c r="J35" s="539">
        <f t="shared" si="3"/>
        <v>0</v>
      </c>
      <c r="K35" s="545" t="str">
        <f t="shared" si="2"/>
        <v/>
      </c>
      <c r="L35" s="538"/>
      <c r="M35" s="539"/>
      <c r="N35" s="29"/>
      <c r="O35" s="29"/>
      <c r="P35" s="29"/>
      <c r="Q35"/>
    </row>
    <row r="36" spans="1:17" x14ac:dyDescent="0.2">
      <c r="A36" s="4"/>
      <c r="B36" s="4"/>
      <c r="C36" s="25"/>
      <c r="D36" s="25"/>
      <c r="E36" s="25"/>
      <c r="F36" s="25"/>
      <c r="G36" s="25"/>
      <c r="H36" s="25"/>
      <c r="I36" s="25"/>
      <c r="J36" s="25"/>
      <c r="K36" s="29"/>
      <c r="L36" s="25"/>
      <c r="M36" s="25"/>
      <c r="N36" s="29"/>
      <c r="O36" s="29"/>
      <c r="P36" s="29"/>
      <c r="Q36"/>
    </row>
    <row r="37" spans="1:17" x14ac:dyDescent="0.2">
      <c r="A37" s="4"/>
      <c r="B37" s="4" t="s">
        <v>1600</v>
      </c>
      <c r="C37" s="25"/>
      <c r="D37" s="25"/>
      <c r="E37" s="25"/>
      <c r="F37" s="25"/>
      <c r="G37" s="25"/>
      <c r="H37" s="849">
        <f>SUM(H26:H36)</f>
        <v>20057</v>
      </c>
      <c r="I37" s="849">
        <f>SUM(I26:I36)</f>
        <v>20414</v>
      </c>
      <c r="J37" s="208">
        <f t="shared" ref="J37" si="5">+I37-H37</f>
        <v>357</v>
      </c>
      <c r="K37" s="850">
        <f t="shared" ref="K37" si="6">IF(H37+I37&lt;&gt;0,IF(H37&lt;&gt;0,IF(J37&lt;&gt;0,ROUND((+J37/H37),4),""),1),"")</f>
        <v>1.78E-2</v>
      </c>
      <c r="L37" s="25"/>
      <c r="M37" s="25"/>
      <c r="N37" s="29"/>
      <c r="O37" s="29"/>
      <c r="P37" s="29"/>
      <c r="Q37"/>
    </row>
    <row r="38" spans="1:17" x14ac:dyDescent="0.2">
      <c r="A38" s="4"/>
      <c r="B38" s="4"/>
      <c r="C38" s="25"/>
      <c r="D38" s="25"/>
      <c r="E38" s="25"/>
      <c r="F38" s="25"/>
      <c r="G38" s="25"/>
      <c r="H38" s="25"/>
      <c r="I38" s="25"/>
      <c r="J38" s="25"/>
      <c r="K38" s="29"/>
      <c r="L38" s="25"/>
      <c r="M38" s="25"/>
      <c r="N38" s="29"/>
      <c r="O38" s="29"/>
      <c r="P38" s="29"/>
      <c r="Q38"/>
    </row>
    <row r="39" spans="1:17" x14ac:dyDescent="0.2">
      <c r="A39" s="4"/>
      <c r="B39" s="4"/>
      <c r="C39" s="25"/>
      <c r="D39" s="25"/>
      <c r="E39" s="25"/>
      <c r="F39" s="25"/>
      <c r="G39" s="25"/>
      <c r="H39" s="25"/>
      <c r="I39" s="25"/>
      <c r="J39" s="25"/>
      <c r="K39" s="29"/>
      <c r="L39" s="25"/>
      <c r="M39" s="25"/>
      <c r="N39" s="29"/>
      <c r="O39" s="29"/>
      <c r="P39" s="29"/>
      <c r="Q39"/>
    </row>
    <row r="40" spans="1:17" x14ac:dyDescent="0.2">
      <c r="A40" s="4"/>
      <c r="B40" s="4"/>
      <c r="C40" s="25"/>
      <c r="D40" s="25"/>
      <c r="E40" s="25"/>
      <c r="F40" s="25"/>
      <c r="G40" s="25"/>
      <c r="H40" s="25"/>
      <c r="I40" s="25"/>
      <c r="J40" s="25"/>
      <c r="K40" s="29"/>
      <c r="L40" s="25"/>
      <c r="M40" s="25"/>
      <c r="N40" s="29"/>
      <c r="O40" s="29"/>
      <c r="P40" s="29"/>
      <c r="Q40"/>
    </row>
    <row r="41" spans="1:17" x14ac:dyDescent="0.2">
      <c r="A41" s="4"/>
      <c r="B41" s="4"/>
      <c r="C41" s="25"/>
      <c r="D41" s="25"/>
      <c r="E41" s="25"/>
      <c r="F41" s="25"/>
      <c r="G41" s="25"/>
      <c r="H41" s="25"/>
      <c r="I41" s="25"/>
      <c r="J41" s="25"/>
      <c r="K41" s="29"/>
      <c r="L41" s="25"/>
      <c r="M41" s="25"/>
      <c r="N41" s="29"/>
      <c r="O41" s="29"/>
      <c r="P41" s="29"/>
      <c r="Q41"/>
    </row>
    <row r="42" spans="1:17" x14ac:dyDescent="0.2">
      <c r="A42" s="4"/>
      <c r="B42" s="4"/>
      <c r="C42" s="25"/>
      <c r="D42" s="25"/>
      <c r="E42" s="25"/>
      <c r="F42" s="25"/>
      <c r="G42" s="25"/>
      <c r="H42" s="25"/>
      <c r="I42" s="25"/>
      <c r="J42" s="25"/>
      <c r="K42" s="29"/>
      <c r="L42" s="25"/>
      <c r="M42" s="25"/>
      <c r="N42" s="29"/>
      <c r="O42" s="29"/>
      <c r="P42" s="29"/>
      <c r="Q42"/>
    </row>
    <row r="43" spans="1:17" x14ac:dyDescent="0.2">
      <c r="A43" s="4"/>
      <c r="B43" s="4"/>
      <c r="C43" s="25"/>
      <c r="D43" s="25"/>
      <c r="E43" s="25"/>
      <c r="F43" s="25"/>
      <c r="G43" s="25"/>
      <c r="H43" s="25"/>
      <c r="I43" s="25"/>
      <c r="J43" s="25"/>
      <c r="K43" s="29"/>
      <c r="L43" s="25"/>
      <c r="M43" s="25"/>
      <c r="N43" s="29"/>
      <c r="O43" s="29"/>
      <c r="P43" s="29"/>
      <c r="Q43"/>
    </row>
    <row r="44" spans="1:17" x14ac:dyDescent="0.2">
      <c r="A44" s="4"/>
      <c r="B44" s="4"/>
      <c r="C44" s="25"/>
      <c r="D44" s="25"/>
      <c r="E44" s="25"/>
      <c r="F44" s="25"/>
      <c r="G44" s="25"/>
      <c r="H44" s="25"/>
      <c r="I44" s="25"/>
      <c r="J44" s="25"/>
      <c r="K44" s="4"/>
      <c r="L44" s="25"/>
      <c r="M44" s="25"/>
      <c r="N44" s="4"/>
      <c r="O44" s="4"/>
      <c r="P44" s="4"/>
      <c r="Q44"/>
    </row>
    <row r="45" spans="1:17" x14ac:dyDescent="0.2">
      <c r="A45" s="4"/>
      <c r="B45" s="4"/>
      <c r="C45" s="25"/>
      <c r="D45" s="25"/>
      <c r="E45" s="25"/>
      <c r="F45" s="25"/>
      <c r="G45" s="25"/>
      <c r="H45" s="25"/>
      <c r="I45" s="25"/>
      <c r="J45" s="25"/>
      <c r="K45" s="4"/>
      <c r="L45" s="25"/>
      <c r="M45" s="25"/>
      <c r="N45" s="4"/>
      <c r="O45" s="4"/>
      <c r="P45" s="4"/>
      <c r="Q45"/>
    </row>
    <row r="46" spans="1:17" x14ac:dyDescent="0.2">
      <c r="A46" s="4"/>
      <c r="B46" s="4"/>
      <c r="C46" s="25"/>
      <c r="D46" s="25"/>
      <c r="E46" s="25"/>
      <c r="F46" s="25"/>
      <c r="G46" s="25"/>
      <c r="H46" s="25"/>
      <c r="I46" s="25"/>
      <c r="J46" s="25"/>
      <c r="K46" s="4"/>
      <c r="L46" s="25"/>
      <c r="M46" s="25"/>
      <c r="N46" s="4"/>
      <c r="O46" s="4"/>
      <c r="P46" s="4"/>
      <c r="Q46"/>
    </row>
    <row r="47" spans="1:17" x14ac:dyDescent="0.2">
      <c r="A47" s="4"/>
      <c r="B47" s="4"/>
      <c r="C47" s="25"/>
      <c r="D47" s="25"/>
      <c r="E47" s="25"/>
      <c r="F47" s="25"/>
      <c r="G47" s="25"/>
      <c r="H47" s="25"/>
      <c r="I47" s="25"/>
      <c r="J47" s="25"/>
      <c r="K47" s="4"/>
      <c r="L47" s="25"/>
      <c r="M47" s="25"/>
      <c r="N47" s="4"/>
      <c r="O47" s="4"/>
      <c r="P47" s="4"/>
      <c r="Q47"/>
    </row>
    <row r="48" spans="1:17" x14ac:dyDescent="0.2">
      <c r="A48" s="4"/>
      <c r="B48" s="4"/>
      <c r="C48" s="25"/>
      <c r="D48" s="25"/>
      <c r="E48" s="25"/>
      <c r="F48" s="25"/>
      <c r="G48" s="25"/>
      <c r="H48" s="25"/>
      <c r="I48" s="25"/>
      <c r="J48" s="25"/>
      <c r="K48" s="4"/>
      <c r="L48" s="25"/>
      <c r="M48" s="25"/>
      <c r="N48" s="4"/>
      <c r="O48" s="4"/>
      <c r="P48" s="4"/>
      <c r="Q48"/>
    </row>
    <row r="49" spans="1:17" x14ac:dyDescent="0.2">
      <c r="A49" s="4"/>
      <c r="B49" s="4"/>
      <c r="C49" s="25"/>
      <c r="D49" s="25"/>
      <c r="E49" s="25"/>
      <c r="F49" s="25"/>
      <c r="G49" s="25"/>
      <c r="H49" s="25"/>
      <c r="I49" s="25"/>
      <c r="J49" s="25"/>
      <c r="K49" s="4"/>
      <c r="L49" s="25"/>
      <c r="M49" s="25"/>
      <c r="N49" s="4"/>
      <c r="O49" s="4"/>
      <c r="P49" s="4"/>
      <c r="Q49"/>
    </row>
    <row r="50" spans="1:17" x14ac:dyDescent="0.2">
      <c r="A50" s="4"/>
      <c r="B50" s="4"/>
      <c r="C50" s="25"/>
      <c r="D50" s="25"/>
      <c r="E50" s="25"/>
      <c r="F50" s="25"/>
      <c r="G50" s="25"/>
      <c r="H50" s="25"/>
      <c r="I50" s="25"/>
      <c r="J50" s="25"/>
      <c r="K50" s="4"/>
      <c r="L50" s="25"/>
      <c r="M50" s="25"/>
      <c r="N50" s="4"/>
      <c r="O50" s="4"/>
      <c r="P50" s="4"/>
      <c r="Q50"/>
    </row>
    <row r="51" spans="1:17" x14ac:dyDescent="0.2">
      <c r="A51" s="4"/>
      <c r="B51" s="4"/>
      <c r="C51" s="25"/>
      <c r="D51" s="25"/>
      <c r="E51" s="25"/>
      <c r="F51" s="25"/>
      <c r="G51" s="25"/>
      <c r="H51" s="25"/>
      <c r="I51" s="25"/>
      <c r="J51" s="25"/>
      <c r="K51" s="4"/>
      <c r="L51" s="25"/>
      <c r="M51" s="25"/>
      <c r="N51" s="4"/>
      <c r="O51" s="4"/>
      <c r="P51" s="4"/>
      <c r="Q51"/>
    </row>
    <row r="52" spans="1:17" x14ac:dyDescent="0.2">
      <c r="A52" s="4"/>
      <c r="B52" s="4"/>
      <c r="C52" s="25"/>
      <c r="D52" s="25"/>
      <c r="E52" s="25"/>
      <c r="F52" s="25"/>
      <c r="G52" s="25"/>
      <c r="H52" s="25"/>
      <c r="I52" s="25"/>
      <c r="J52" s="25"/>
      <c r="K52" s="4"/>
      <c r="L52" s="25"/>
      <c r="M52" s="25"/>
      <c r="N52" s="4"/>
      <c r="O52" s="4"/>
      <c r="P52" s="4"/>
      <c r="Q52"/>
    </row>
    <row r="53" spans="1:17" x14ac:dyDescent="0.2">
      <c r="A53" s="4"/>
      <c r="B53" s="4"/>
      <c r="C53" s="25"/>
      <c r="D53" s="25"/>
      <c r="E53" s="25"/>
      <c r="F53" s="25"/>
      <c r="G53" s="25"/>
      <c r="H53" s="25"/>
      <c r="I53" s="25"/>
      <c r="J53" s="25"/>
      <c r="K53" s="4"/>
      <c r="L53" s="25"/>
      <c r="M53" s="25"/>
      <c r="N53" s="4"/>
      <c r="O53" s="4"/>
      <c r="P53" s="4"/>
      <c r="Q53"/>
    </row>
    <row r="54" spans="1:17" x14ac:dyDescent="0.2">
      <c r="A54" s="4"/>
      <c r="B54" s="4"/>
      <c r="C54" s="25"/>
      <c r="D54" s="25"/>
      <c r="E54" s="25"/>
      <c r="F54" s="25"/>
      <c r="G54" s="25"/>
      <c r="H54" s="25"/>
      <c r="I54" s="25"/>
      <c r="J54" s="25"/>
      <c r="K54" s="4"/>
      <c r="L54" s="25"/>
      <c r="M54" s="25"/>
      <c r="N54" s="4"/>
      <c r="O54" s="4"/>
      <c r="P54" s="4"/>
      <c r="Q54"/>
    </row>
    <row r="55" spans="1:17" x14ac:dyDescent="0.2">
      <c r="A55" s="4"/>
      <c r="B55" s="4"/>
      <c r="C55" s="25"/>
      <c r="D55" s="25"/>
      <c r="E55" s="25"/>
      <c r="F55" s="25"/>
      <c r="G55" s="25"/>
      <c r="H55" s="25"/>
      <c r="I55" s="25"/>
      <c r="J55" s="25"/>
      <c r="K55" s="4"/>
      <c r="L55" s="25"/>
      <c r="M55" s="25"/>
      <c r="N55" s="4"/>
      <c r="O55" s="4"/>
      <c r="P55" s="4"/>
      <c r="Q55"/>
    </row>
    <row r="56" spans="1:17" x14ac:dyDescent="0.2">
      <c r="A56" s="4"/>
      <c r="B56" s="4"/>
      <c r="C56" s="25"/>
      <c r="D56" s="25"/>
      <c r="E56" s="25"/>
      <c r="F56" s="25"/>
      <c r="G56" s="25"/>
      <c r="H56" s="25"/>
      <c r="I56" s="25"/>
      <c r="J56" s="25"/>
      <c r="K56" s="4"/>
      <c r="L56" s="25"/>
      <c r="M56" s="25"/>
      <c r="N56" s="4"/>
      <c r="O56" s="4"/>
      <c r="P56" s="4"/>
      <c r="Q56"/>
    </row>
    <row r="57" spans="1:17" x14ac:dyDescent="0.2">
      <c r="A57" s="4"/>
      <c r="B57" s="4"/>
      <c r="C57" s="25"/>
      <c r="D57" s="25"/>
      <c r="E57" s="25"/>
      <c r="F57" s="25"/>
      <c r="G57" s="25"/>
      <c r="H57" s="25"/>
      <c r="I57" s="25"/>
      <c r="J57" s="25"/>
      <c r="K57" s="4"/>
      <c r="L57" s="25"/>
      <c r="M57" s="25"/>
      <c r="N57" s="4"/>
      <c r="O57" s="4"/>
      <c r="P57" s="4"/>
      <c r="Q57"/>
    </row>
    <row r="58" spans="1:17" x14ac:dyDescent="0.2">
      <c r="A58" s="4"/>
      <c r="B58" s="4"/>
      <c r="C58" s="25"/>
      <c r="D58" s="25"/>
      <c r="E58" s="25"/>
      <c r="F58" s="25"/>
      <c r="G58" s="25"/>
      <c r="H58" s="25"/>
      <c r="I58" s="25"/>
      <c r="J58" s="25"/>
      <c r="K58" s="4"/>
      <c r="L58" s="25"/>
      <c r="M58" s="25"/>
      <c r="N58" s="4"/>
      <c r="O58" s="4"/>
      <c r="P58" s="4"/>
      <c r="Q58"/>
    </row>
    <row r="59" spans="1:17" x14ac:dyDescent="0.2">
      <c r="A59" s="4"/>
      <c r="B59" s="4"/>
      <c r="C59" s="25"/>
      <c r="D59" s="25"/>
      <c r="E59" s="25"/>
      <c r="F59" s="25"/>
      <c r="G59" s="25"/>
      <c r="H59" s="25"/>
      <c r="I59" s="25"/>
      <c r="J59" s="25"/>
      <c r="K59" s="4"/>
      <c r="L59" s="25"/>
      <c r="M59" s="25"/>
      <c r="N59" s="4"/>
      <c r="O59" s="4"/>
      <c r="P59" s="4"/>
      <c r="Q59"/>
    </row>
    <row r="60" spans="1:17" x14ac:dyDescent="0.2">
      <c r="A60" s="4"/>
      <c r="B60" s="4"/>
      <c r="C60" s="25"/>
      <c r="D60" s="25"/>
      <c r="E60" s="25"/>
      <c r="F60" s="25"/>
      <c r="G60" s="25"/>
      <c r="H60" s="25"/>
      <c r="I60" s="25"/>
      <c r="J60" s="25"/>
      <c r="K60" s="4"/>
      <c r="L60" s="25"/>
      <c r="M60" s="25"/>
      <c r="N60" s="4"/>
      <c r="O60" s="4"/>
      <c r="P60" s="4"/>
      <c r="Q60"/>
    </row>
    <row r="61" spans="1:17" x14ac:dyDescent="0.2">
      <c r="A61" s="4"/>
      <c r="B61" s="4"/>
      <c r="C61" s="25"/>
      <c r="D61" s="25"/>
      <c r="E61" s="25"/>
      <c r="F61" s="25"/>
      <c r="G61" s="25"/>
      <c r="H61" s="25"/>
      <c r="I61" s="25"/>
      <c r="J61" s="25"/>
      <c r="K61" s="4"/>
      <c r="L61" s="25"/>
      <c r="M61" s="25"/>
      <c r="N61" s="4"/>
      <c r="O61" s="4"/>
      <c r="P61" s="4"/>
      <c r="Q61"/>
    </row>
    <row r="62" spans="1:17" x14ac:dyDescent="0.2">
      <c r="A62" s="4"/>
      <c r="B62" s="4"/>
      <c r="C62" s="25"/>
      <c r="D62" s="25"/>
      <c r="E62" s="25"/>
      <c r="F62" s="25"/>
      <c r="G62" s="25"/>
      <c r="H62" s="25"/>
      <c r="I62" s="25"/>
      <c r="J62" s="25"/>
      <c r="K62" s="4"/>
      <c r="L62" s="25"/>
      <c r="M62" s="25"/>
      <c r="N62" s="4"/>
      <c r="O62" s="4"/>
      <c r="P62" s="4"/>
      <c r="Q62"/>
    </row>
    <row r="63" spans="1:17" x14ac:dyDescent="0.2">
      <c r="A63" s="4"/>
      <c r="B63" s="4"/>
      <c r="C63" s="25"/>
      <c r="D63" s="25"/>
      <c r="E63" s="25"/>
      <c r="F63" s="25"/>
      <c r="G63" s="25"/>
      <c r="H63" s="25"/>
      <c r="I63" s="25"/>
      <c r="J63" s="25"/>
      <c r="K63" s="4"/>
      <c r="L63" s="25"/>
      <c r="M63" s="25"/>
      <c r="N63" s="4"/>
      <c r="O63" s="4"/>
      <c r="P63" s="4"/>
      <c r="Q63"/>
    </row>
    <row r="64" spans="1:17" x14ac:dyDescent="0.2">
      <c r="A64" s="4"/>
      <c r="B64" s="4"/>
      <c r="C64" s="25"/>
      <c r="D64" s="25"/>
      <c r="E64" s="25"/>
      <c r="F64" s="25"/>
      <c r="G64" s="25"/>
      <c r="H64" s="25"/>
      <c r="I64" s="25"/>
      <c r="J64" s="25"/>
      <c r="K64" s="4"/>
      <c r="L64" s="25"/>
      <c r="M64" s="25"/>
      <c r="N64" s="4"/>
      <c r="O64" s="4"/>
      <c r="P64" s="4"/>
      <c r="Q64"/>
    </row>
    <row r="65" spans="1:17" x14ac:dyDescent="0.2">
      <c r="A65" s="4"/>
      <c r="B65" s="4"/>
      <c r="C65" s="25"/>
      <c r="D65" s="25"/>
      <c r="E65" s="25"/>
      <c r="F65" s="25"/>
      <c r="G65" s="25"/>
      <c r="H65" s="25"/>
      <c r="I65" s="25"/>
      <c r="J65" s="25"/>
      <c r="K65" s="4"/>
      <c r="L65" s="25"/>
      <c r="M65" s="25"/>
      <c r="N65" s="4"/>
      <c r="O65" s="4"/>
      <c r="P65" s="4"/>
      <c r="Q65"/>
    </row>
    <row r="66" spans="1:17" x14ac:dyDescent="0.2">
      <c r="A66" s="4"/>
      <c r="B66" s="4"/>
      <c r="C66" s="25"/>
      <c r="D66" s="25"/>
      <c r="E66" s="25"/>
      <c r="F66" s="25"/>
      <c r="G66" s="25"/>
      <c r="H66" s="25"/>
      <c r="I66" s="25"/>
      <c r="J66" s="25"/>
      <c r="K66" s="4"/>
      <c r="L66" s="25"/>
      <c r="M66" s="25"/>
      <c r="N66" s="4"/>
      <c r="O66" s="4"/>
      <c r="P66" s="4"/>
      <c r="Q66"/>
    </row>
    <row r="67" spans="1:17" x14ac:dyDescent="0.2">
      <c r="A67" s="4"/>
      <c r="B67" s="4"/>
      <c r="C67" s="25"/>
      <c r="D67" s="25"/>
      <c r="E67" s="25"/>
      <c r="F67" s="25"/>
      <c r="G67" s="25"/>
      <c r="H67" s="25"/>
      <c r="I67" s="25"/>
      <c r="J67" s="25"/>
      <c r="K67" s="4"/>
      <c r="L67" s="25"/>
      <c r="M67" s="25"/>
      <c r="N67" s="4"/>
      <c r="O67" s="4"/>
      <c r="P67" s="4"/>
      <c r="Q67"/>
    </row>
    <row r="68" spans="1:17" x14ac:dyDescent="0.2">
      <c r="A68" s="4"/>
      <c r="B68" s="4"/>
      <c r="C68" s="25"/>
      <c r="D68" s="25"/>
      <c r="E68" s="25"/>
      <c r="F68" s="25"/>
      <c r="G68" s="25"/>
      <c r="H68" s="25"/>
      <c r="I68" s="25"/>
      <c r="J68" s="25"/>
      <c r="K68" s="4"/>
      <c r="L68" s="25"/>
      <c r="M68" s="25"/>
      <c r="N68" s="4"/>
      <c r="O68" s="4"/>
      <c r="P68" s="4"/>
      <c r="Q68"/>
    </row>
    <row r="69" spans="1:17" x14ac:dyDescent="0.2">
      <c r="A69" s="4"/>
      <c r="B69" s="4"/>
      <c r="C69" s="25"/>
      <c r="D69" s="25"/>
      <c r="E69" s="25"/>
      <c r="F69" s="25"/>
      <c r="G69" s="25"/>
      <c r="H69" s="25"/>
      <c r="I69" s="25"/>
      <c r="J69" s="25"/>
      <c r="K69" s="4"/>
      <c r="L69" s="25"/>
      <c r="M69" s="25"/>
      <c r="N69" s="4"/>
      <c r="O69" s="4"/>
      <c r="P69" s="4"/>
      <c r="Q69"/>
    </row>
    <row r="70" spans="1:17" x14ac:dyDescent="0.2">
      <c r="A70" s="4"/>
      <c r="B70" s="4"/>
      <c r="C70" s="25"/>
      <c r="D70" s="25"/>
      <c r="E70" s="25"/>
      <c r="F70" s="25"/>
      <c r="G70" s="25"/>
      <c r="H70" s="25"/>
      <c r="I70" s="25"/>
      <c r="J70" s="25"/>
      <c r="K70" s="4"/>
      <c r="L70" s="25"/>
      <c r="M70" s="25"/>
      <c r="N70" s="4"/>
      <c r="O70" s="4"/>
      <c r="P70" s="4"/>
      <c r="Q70"/>
    </row>
    <row r="71" spans="1:17" x14ac:dyDescent="0.2">
      <c r="A71" s="4"/>
      <c r="B71" s="4"/>
      <c r="C71" s="25"/>
      <c r="D71" s="25"/>
      <c r="E71" s="25"/>
      <c r="F71" s="25"/>
      <c r="G71" s="25"/>
      <c r="H71" s="25"/>
      <c r="I71" s="25"/>
      <c r="J71" s="25"/>
      <c r="K71" s="4"/>
      <c r="L71" s="25"/>
      <c r="M71" s="25"/>
      <c r="N71" s="4"/>
      <c r="O71" s="4"/>
      <c r="P71" s="4"/>
      <c r="Q71"/>
    </row>
    <row r="72" spans="1:17" x14ac:dyDescent="0.2">
      <c r="A72" s="4"/>
      <c r="B72" s="4"/>
      <c r="C72" s="25"/>
      <c r="D72" s="25"/>
      <c r="E72" s="25"/>
      <c r="F72" s="25"/>
      <c r="G72" s="25"/>
      <c r="H72" s="25"/>
      <c r="I72" s="25"/>
      <c r="J72" s="25"/>
      <c r="K72" s="4"/>
      <c r="L72" s="25"/>
      <c r="M72" s="25"/>
      <c r="N72" s="4"/>
      <c r="O72" s="4"/>
      <c r="P72" s="4"/>
      <c r="Q72"/>
    </row>
    <row r="73" spans="1:17" x14ac:dyDescent="0.2">
      <c r="A73" s="4"/>
      <c r="B73" s="4"/>
      <c r="C73" s="25"/>
      <c r="D73" s="25"/>
      <c r="E73" s="25"/>
      <c r="F73" s="25"/>
      <c r="G73" s="25"/>
      <c r="H73" s="25"/>
      <c r="I73" s="25"/>
      <c r="J73" s="25"/>
      <c r="K73" s="4"/>
      <c r="L73" s="25"/>
      <c r="M73" s="25"/>
      <c r="N73" s="4"/>
      <c r="O73" s="4"/>
      <c r="P73" s="4"/>
      <c r="Q73"/>
    </row>
    <row r="74" spans="1:17" x14ac:dyDescent="0.2">
      <c r="A74" s="4"/>
      <c r="B74" s="4"/>
      <c r="C74" s="25"/>
      <c r="D74" s="25"/>
      <c r="E74" s="25"/>
      <c r="F74" s="25"/>
      <c r="G74" s="25"/>
      <c r="H74" s="25"/>
      <c r="I74" s="25"/>
      <c r="J74" s="25"/>
      <c r="K74" s="4"/>
      <c r="L74" s="25"/>
      <c r="M74" s="25"/>
      <c r="N74" s="4"/>
      <c r="O74" s="4"/>
      <c r="P74" s="4"/>
      <c r="Q74"/>
    </row>
    <row r="75" spans="1:17" x14ac:dyDescent="0.2">
      <c r="A75" s="4"/>
      <c r="B75" s="4"/>
      <c r="C75" s="25"/>
      <c r="D75" s="25"/>
      <c r="E75" s="25"/>
      <c r="F75" s="25"/>
      <c r="G75" s="25"/>
      <c r="H75" s="25"/>
      <c r="I75" s="25"/>
      <c r="J75" s="25"/>
      <c r="K75" s="4"/>
      <c r="L75" s="25"/>
      <c r="M75" s="25"/>
      <c r="N75" s="4"/>
      <c r="O75" s="4"/>
      <c r="P75" s="4"/>
      <c r="Q75"/>
    </row>
    <row r="76" spans="1:17" x14ac:dyDescent="0.2">
      <c r="A76" s="4"/>
      <c r="B76" s="4"/>
      <c r="C76" s="25"/>
      <c r="D76" s="25"/>
      <c r="E76" s="25"/>
      <c r="F76" s="25"/>
      <c r="G76" s="25"/>
      <c r="H76" s="25"/>
      <c r="I76" s="25"/>
      <c r="J76" s="25"/>
      <c r="K76" s="4"/>
      <c r="L76" s="25"/>
      <c r="M76" s="25"/>
      <c r="N76" s="4"/>
      <c r="O76" s="4"/>
      <c r="P76" s="4"/>
      <c r="Q76"/>
    </row>
    <row r="77" spans="1:17" x14ac:dyDescent="0.2">
      <c r="A77" s="4"/>
      <c r="B77" s="4"/>
      <c r="C77" s="25"/>
      <c r="D77" s="25"/>
      <c r="E77" s="25"/>
      <c r="F77" s="25"/>
      <c r="G77" s="25"/>
      <c r="H77" s="25"/>
      <c r="I77" s="25"/>
      <c r="J77" s="25"/>
      <c r="K77" s="4"/>
      <c r="L77" s="25"/>
      <c r="M77" s="25"/>
      <c r="N77" s="4"/>
      <c r="O77" s="4"/>
      <c r="P77" s="4"/>
      <c r="Q77"/>
    </row>
    <row r="78" spans="1:17" x14ac:dyDescent="0.2">
      <c r="A78" s="4"/>
      <c r="B78" s="4"/>
      <c r="C78" s="25"/>
      <c r="D78" s="25"/>
      <c r="E78" s="25"/>
      <c r="F78" s="25"/>
      <c r="G78" s="25"/>
      <c r="H78" s="25"/>
      <c r="I78" s="25"/>
      <c r="J78" s="25"/>
      <c r="K78" s="4"/>
      <c r="L78" s="25"/>
      <c r="M78" s="25"/>
      <c r="N78" s="4"/>
      <c r="O78" s="4"/>
      <c r="P78" s="4"/>
      <c r="Q78"/>
    </row>
    <row r="79" spans="1:17" x14ac:dyDescent="0.2">
      <c r="A79" s="4"/>
      <c r="B79" s="4"/>
      <c r="C79" s="25"/>
      <c r="D79" s="25"/>
      <c r="E79" s="25"/>
      <c r="F79" s="25"/>
      <c r="G79" s="25"/>
      <c r="H79" s="25"/>
      <c r="I79" s="25"/>
      <c r="J79" s="25"/>
      <c r="K79" s="4"/>
      <c r="L79" s="25"/>
      <c r="M79" s="25"/>
      <c r="N79" s="4"/>
      <c r="O79" s="4"/>
      <c r="P79" s="4"/>
      <c r="Q79"/>
    </row>
    <row r="80" spans="1:17" x14ac:dyDescent="0.2">
      <c r="A80" s="4"/>
      <c r="B80" s="4"/>
      <c r="C80" s="25"/>
      <c r="D80" s="25"/>
      <c r="E80" s="25"/>
      <c r="F80" s="25"/>
      <c r="G80" s="25"/>
      <c r="H80" s="25"/>
      <c r="I80" s="25"/>
      <c r="J80" s="25"/>
      <c r="K80" s="4"/>
      <c r="L80" s="25"/>
      <c r="M80" s="25"/>
      <c r="N80" s="4"/>
      <c r="O80" s="4"/>
      <c r="P80" s="4"/>
      <c r="Q80"/>
    </row>
    <row r="81" spans="1:17" x14ac:dyDescent="0.2">
      <c r="A81" s="4"/>
      <c r="B81" s="4"/>
      <c r="C81" s="25"/>
      <c r="D81" s="25"/>
      <c r="E81" s="25"/>
      <c r="F81" s="25"/>
      <c r="G81" s="25"/>
      <c r="H81" s="25"/>
      <c r="I81" s="25"/>
      <c r="J81" s="25"/>
      <c r="K81" s="4"/>
      <c r="L81" s="25"/>
      <c r="M81" s="25"/>
      <c r="N81" s="4"/>
      <c r="O81" s="4"/>
      <c r="P81" s="4"/>
      <c r="Q81"/>
    </row>
    <row r="82" spans="1:17" x14ac:dyDescent="0.2">
      <c r="A82" s="4"/>
      <c r="B82" s="4"/>
      <c r="C82" s="25"/>
      <c r="D82" s="25"/>
      <c r="E82" s="25"/>
      <c r="F82" s="25"/>
      <c r="G82" s="25"/>
      <c r="H82" s="25"/>
      <c r="I82" s="25"/>
      <c r="J82" s="25"/>
      <c r="K82" s="4"/>
      <c r="L82" s="25"/>
      <c r="M82" s="25"/>
      <c r="N82" s="4"/>
      <c r="O82" s="4"/>
      <c r="P82" s="4"/>
      <c r="Q82"/>
    </row>
    <row r="83" spans="1:17" x14ac:dyDescent="0.2">
      <c r="A83" s="4"/>
      <c r="B83" s="4"/>
      <c r="C83" s="25"/>
      <c r="D83" s="25"/>
      <c r="E83" s="25"/>
      <c r="F83" s="25"/>
      <c r="G83" s="25"/>
      <c r="H83" s="25"/>
      <c r="I83" s="25"/>
      <c r="J83" s="25"/>
      <c r="K83" s="4"/>
      <c r="L83" s="25"/>
      <c r="M83" s="25"/>
      <c r="N83" s="4"/>
      <c r="O83" s="4"/>
      <c r="P83" s="4"/>
      <c r="Q83"/>
    </row>
    <row r="84" spans="1:17" x14ac:dyDescent="0.2">
      <c r="A84" s="4"/>
      <c r="B84" s="4"/>
      <c r="C84" s="25"/>
      <c r="D84" s="25"/>
      <c r="E84" s="25"/>
      <c r="F84" s="25"/>
      <c r="G84" s="25"/>
      <c r="H84" s="25"/>
      <c r="I84" s="25"/>
      <c r="J84" s="25"/>
      <c r="K84" s="4"/>
      <c r="L84" s="25"/>
      <c r="M84" s="25"/>
      <c r="N84" s="4"/>
      <c r="O84" s="4"/>
      <c r="P84" s="4"/>
      <c r="Q84"/>
    </row>
    <row r="85" spans="1:17" x14ac:dyDescent="0.2">
      <c r="A85" s="4"/>
      <c r="B85" s="4"/>
      <c r="C85" s="25"/>
      <c r="D85" s="25"/>
      <c r="E85" s="25"/>
      <c r="F85" s="25"/>
      <c r="G85" s="25"/>
      <c r="H85" s="25"/>
      <c r="I85" s="25"/>
      <c r="J85" s="25"/>
      <c r="K85" s="4"/>
      <c r="L85" s="25"/>
      <c r="M85" s="25"/>
      <c r="N85" s="4"/>
      <c r="O85" s="4"/>
      <c r="P85" s="4"/>
      <c r="Q85"/>
    </row>
    <row r="86" spans="1:17" x14ac:dyDescent="0.2">
      <c r="A86" s="4"/>
      <c r="B86" s="4"/>
      <c r="C86" s="25"/>
      <c r="D86" s="25"/>
      <c r="E86" s="25"/>
      <c r="F86" s="25"/>
      <c r="G86" s="25"/>
      <c r="H86" s="25"/>
      <c r="I86" s="25"/>
      <c r="J86" s="25"/>
      <c r="K86" s="4"/>
      <c r="L86" s="25"/>
      <c r="M86" s="25"/>
      <c r="N86" s="4"/>
      <c r="O86" s="4"/>
      <c r="P86" s="4"/>
      <c r="Q86"/>
    </row>
    <row r="87" spans="1:17" x14ac:dyDescent="0.2">
      <c r="A87" s="4"/>
      <c r="B87" s="4"/>
      <c r="C87" s="25"/>
      <c r="D87" s="25"/>
      <c r="E87" s="25"/>
      <c r="F87" s="25"/>
      <c r="G87" s="25"/>
      <c r="H87" s="25"/>
      <c r="I87" s="25"/>
      <c r="J87" s="25"/>
      <c r="K87" s="4"/>
      <c r="L87" s="25"/>
      <c r="M87" s="25"/>
      <c r="N87" s="4"/>
      <c r="O87" s="4"/>
      <c r="P87" s="4"/>
      <c r="Q87"/>
    </row>
    <row r="88" spans="1:17" x14ac:dyDescent="0.2">
      <c r="A88" s="4"/>
      <c r="B88" s="4"/>
      <c r="C88" s="25"/>
      <c r="D88" s="25"/>
      <c r="E88" s="25"/>
      <c r="F88" s="25"/>
      <c r="G88" s="25"/>
      <c r="H88" s="25"/>
      <c r="I88" s="25"/>
      <c r="J88" s="25"/>
      <c r="K88" s="4"/>
      <c r="L88" s="25"/>
      <c r="M88" s="25"/>
      <c r="N88" s="4"/>
      <c r="O88" s="4"/>
      <c r="P88" s="4"/>
      <c r="Q88"/>
    </row>
    <row r="89" spans="1:17" x14ac:dyDescent="0.2">
      <c r="A89" s="4"/>
      <c r="B89" s="4"/>
      <c r="C89" s="25"/>
      <c r="D89" s="25"/>
      <c r="E89" s="25"/>
      <c r="F89" s="25"/>
      <c r="G89" s="25"/>
      <c r="H89" s="25"/>
      <c r="I89" s="25"/>
      <c r="J89" s="25"/>
      <c r="K89" s="4"/>
      <c r="L89" s="25"/>
      <c r="M89" s="25"/>
      <c r="N89" s="4"/>
      <c r="O89" s="4"/>
      <c r="P89" s="4"/>
      <c r="Q89"/>
    </row>
    <row r="90" spans="1:17" x14ac:dyDescent="0.2">
      <c r="A90" s="4"/>
      <c r="B90" s="4"/>
      <c r="C90" s="25"/>
      <c r="D90" s="25"/>
      <c r="E90" s="25"/>
      <c r="F90" s="25"/>
      <c r="G90" s="25"/>
      <c r="H90" s="25"/>
      <c r="I90" s="25"/>
      <c r="J90" s="25"/>
      <c r="K90" s="4"/>
      <c r="L90" s="25"/>
      <c r="M90" s="25"/>
      <c r="N90" s="4"/>
      <c r="O90" s="4"/>
      <c r="P90" s="4"/>
      <c r="Q90"/>
    </row>
    <row r="91" spans="1:17" x14ac:dyDescent="0.2">
      <c r="A91" s="4"/>
      <c r="B91" s="4"/>
      <c r="C91" s="25"/>
      <c r="D91" s="25"/>
      <c r="E91" s="25"/>
      <c r="F91" s="25"/>
      <c r="G91" s="25"/>
      <c r="H91" s="25"/>
      <c r="I91" s="25"/>
      <c r="J91" s="25"/>
      <c r="K91" s="4"/>
      <c r="L91" s="25"/>
      <c r="M91" s="25"/>
      <c r="N91" s="4"/>
      <c r="O91" s="4"/>
      <c r="P91" s="4"/>
      <c r="Q91"/>
    </row>
    <row r="92" spans="1:17" x14ac:dyDescent="0.2">
      <c r="A92" s="4"/>
      <c r="B92" s="4"/>
      <c r="C92" s="25"/>
      <c r="D92" s="25"/>
      <c r="E92" s="25"/>
      <c r="F92" s="25"/>
      <c r="G92" s="25"/>
      <c r="H92" s="25"/>
      <c r="I92" s="25"/>
      <c r="J92" s="25"/>
      <c r="K92" s="4"/>
      <c r="L92" s="25"/>
      <c r="M92" s="25"/>
      <c r="N92" s="4"/>
      <c r="O92" s="4"/>
      <c r="P92" s="4"/>
      <c r="Q92"/>
    </row>
    <row r="93" spans="1:17" x14ac:dyDescent="0.2">
      <c r="A93" s="4"/>
      <c r="B93" s="4"/>
      <c r="C93" s="25"/>
      <c r="D93" s="25"/>
      <c r="E93" s="25"/>
      <c r="F93" s="25"/>
      <c r="G93" s="25"/>
      <c r="H93" s="25"/>
      <c r="I93" s="25"/>
      <c r="J93" s="25"/>
      <c r="K93" s="4"/>
      <c r="L93" s="25"/>
      <c r="M93" s="25"/>
      <c r="N93" s="4"/>
      <c r="O93" s="4"/>
      <c r="P93" s="4"/>
      <c r="Q93"/>
    </row>
    <row r="94" spans="1:17" x14ac:dyDescent="0.2">
      <c r="A94" s="4"/>
      <c r="B94" s="4"/>
      <c r="C94" s="25"/>
      <c r="D94" s="25"/>
      <c r="E94" s="25"/>
      <c r="F94" s="25"/>
      <c r="G94" s="25"/>
      <c r="H94" s="25"/>
      <c r="I94" s="25"/>
      <c r="J94" s="25"/>
      <c r="K94" s="4"/>
      <c r="L94" s="25"/>
      <c r="M94" s="25"/>
      <c r="N94" s="4"/>
      <c r="O94" s="4"/>
      <c r="P94" s="4"/>
      <c r="Q94"/>
    </row>
    <row r="95" spans="1:17" x14ac:dyDescent="0.2">
      <c r="A95" s="4"/>
      <c r="B95" s="4"/>
      <c r="C95" s="25"/>
      <c r="D95" s="25"/>
      <c r="E95" s="25"/>
      <c r="F95" s="25"/>
      <c r="G95" s="25"/>
      <c r="H95" s="25"/>
      <c r="I95" s="25"/>
      <c r="J95" s="25"/>
      <c r="K95" s="4"/>
      <c r="L95" s="25"/>
      <c r="M95" s="25"/>
      <c r="N95" s="4"/>
      <c r="O95" s="4"/>
      <c r="P95" s="4"/>
      <c r="Q95"/>
    </row>
    <row r="96" spans="1:17" x14ac:dyDescent="0.2">
      <c r="A96" s="4"/>
      <c r="B96" s="4"/>
      <c r="C96" s="25"/>
      <c r="D96" s="25"/>
      <c r="E96" s="25"/>
      <c r="F96" s="25"/>
      <c r="G96" s="25"/>
      <c r="H96" s="25"/>
      <c r="I96" s="25"/>
      <c r="J96" s="25"/>
      <c r="K96" s="4"/>
      <c r="L96" s="25"/>
      <c r="M96" s="25"/>
      <c r="N96" s="4"/>
      <c r="O96" s="4"/>
      <c r="P96" s="4"/>
      <c r="Q96"/>
    </row>
    <row r="97" spans="1:17" x14ac:dyDescent="0.2">
      <c r="A97" s="4"/>
      <c r="B97" s="4"/>
      <c r="C97" s="25"/>
      <c r="D97" s="25"/>
      <c r="E97" s="25"/>
      <c r="F97" s="25"/>
      <c r="G97" s="25"/>
      <c r="H97" s="25"/>
      <c r="I97" s="25"/>
      <c r="J97" s="25"/>
      <c r="K97" s="4"/>
      <c r="L97" s="25"/>
      <c r="M97" s="25"/>
      <c r="N97" s="4"/>
      <c r="O97" s="4"/>
      <c r="P97" s="4"/>
      <c r="Q97"/>
    </row>
    <row r="98" spans="1:17" x14ac:dyDescent="0.2">
      <c r="A98" s="4"/>
      <c r="B98" s="4"/>
      <c r="C98" s="25"/>
      <c r="D98" s="25"/>
      <c r="E98" s="25"/>
      <c r="F98" s="25"/>
      <c r="G98" s="25"/>
      <c r="H98" s="25"/>
      <c r="I98" s="25"/>
      <c r="J98" s="25"/>
      <c r="K98" s="4"/>
      <c r="L98" s="25"/>
      <c r="M98" s="25"/>
      <c r="N98" s="4"/>
      <c r="O98" s="4"/>
      <c r="P98" s="4"/>
      <c r="Q98"/>
    </row>
    <row r="99" spans="1:17" x14ac:dyDescent="0.2">
      <c r="A99" s="4"/>
      <c r="B99" s="4"/>
      <c r="C99" s="25"/>
      <c r="D99" s="25"/>
      <c r="E99" s="25"/>
      <c r="F99" s="25"/>
      <c r="G99" s="25"/>
      <c r="H99" s="25"/>
      <c r="I99" s="25"/>
      <c r="J99" s="25"/>
      <c r="K99" s="4"/>
      <c r="L99" s="25"/>
      <c r="M99" s="25"/>
      <c r="N99" s="4"/>
      <c r="O99" s="4"/>
      <c r="P99" s="4"/>
      <c r="Q99"/>
    </row>
    <row r="100" spans="1:17" x14ac:dyDescent="0.2">
      <c r="A100" s="4"/>
      <c r="B100" s="4"/>
      <c r="C100" s="25"/>
      <c r="D100" s="25"/>
      <c r="E100" s="25"/>
      <c r="F100" s="25"/>
      <c r="G100" s="25"/>
      <c r="H100" s="25"/>
      <c r="I100" s="25"/>
      <c r="J100" s="25"/>
      <c r="K100" s="4"/>
      <c r="L100" s="25"/>
      <c r="M100" s="25"/>
      <c r="N100" s="4"/>
      <c r="O100" s="4"/>
      <c r="P100" s="4"/>
      <c r="Q100"/>
    </row>
    <row r="101" spans="1:17" x14ac:dyDescent="0.2">
      <c r="A101" s="4"/>
      <c r="B101" s="4"/>
      <c r="C101" s="25"/>
      <c r="D101" s="25"/>
      <c r="E101" s="25"/>
      <c r="F101" s="25"/>
      <c r="G101" s="25"/>
      <c r="H101" s="25"/>
      <c r="I101" s="25"/>
      <c r="J101" s="25"/>
      <c r="K101" s="4"/>
      <c r="L101" s="25"/>
      <c r="M101" s="25"/>
      <c r="N101" s="4"/>
      <c r="O101" s="4"/>
      <c r="P101" s="4"/>
      <c r="Q101"/>
    </row>
    <row r="102" spans="1:17" x14ac:dyDescent="0.2">
      <c r="A102" s="4"/>
      <c r="B102" s="4"/>
      <c r="C102" s="25"/>
      <c r="D102" s="25"/>
      <c r="E102" s="25"/>
      <c r="F102" s="25"/>
      <c r="G102" s="25"/>
      <c r="H102" s="25"/>
      <c r="I102" s="25"/>
      <c r="J102" s="25"/>
      <c r="K102" s="4"/>
      <c r="L102" s="25"/>
      <c r="M102" s="25"/>
      <c r="N102" s="4"/>
      <c r="O102" s="4"/>
      <c r="P102" s="4"/>
      <c r="Q102"/>
    </row>
    <row r="103" spans="1:17" x14ac:dyDescent="0.2">
      <c r="A103" s="4"/>
      <c r="B103" s="4"/>
      <c r="C103" s="25"/>
      <c r="D103" s="25"/>
      <c r="E103" s="25"/>
      <c r="F103" s="25"/>
      <c r="G103" s="25"/>
      <c r="H103" s="25"/>
      <c r="I103" s="25"/>
      <c r="J103" s="25"/>
      <c r="K103" s="4"/>
      <c r="L103" s="25"/>
      <c r="M103" s="25"/>
      <c r="N103" s="4"/>
      <c r="O103" s="4"/>
      <c r="P103" s="4"/>
      <c r="Q103"/>
    </row>
    <row r="104" spans="1:17" x14ac:dyDescent="0.2">
      <c r="A104" s="4"/>
      <c r="B104" s="4"/>
      <c r="C104" s="25"/>
      <c r="D104" s="25"/>
      <c r="E104" s="25"/>
      <c r="F104" s="25"/>
      <c r="G104" s="25"/>
      <c r="H104" s="25"/>
      <c r="I104" s="25"/>
      <c r="J104" s="25"/>
      <c r="K104" s="4"/>
      <c r="L104" s="25"/>
      <c r="M104" s="25"/>
      <c r="N104" s="4"/>
      <c r="O104" s="4"/>
      <c r="P104" s="4"/>
      <c r="Q104"/>
    </row>
    <row r="105" spans="1:17" x14ac:dyDescent="0.2">
      <c r="A105" s="4"/>
      <c r="B105" s="4"/>
      <c r="C105" s="25"/>
      <c r="D105" s="25"/>
      <c r="E105" s="25"/>
      <c r="F105" s="25"/>
      <c r="G105" s="25"/>
      <c r="H105" s="25"/>
      <c r="I105" s="25"/>
      <c r="J105" s="25"/>
      <c r="K105" s="4"/>
      <c r="L105" s="25"/>
      <c r="M105" s="25"/>
      <c r="N105" s="4"/>
      <c r="O105" s="4"/>
      <c r="P105" s="4"/>
      <c r="Q105"/>
    </row>
    <row r="106" spans="1:17" x14ac:dyDescent="0.2">
      <c r="C106" s="121"/>
      <c r="D106"/>
      <c r="E106"/>
      <c r="F106"/>
      <c r="G106"/>
      <c r="H106"/>
      <c r="I106"/>
      <c r="J106"/>
      <c r="L106"/>
      <c r="M106"/>
      <c r="Q106"/>
    </row>
    <row r="107" spans="1:17" x14ac:dyDescent="0.2">
      <c r="C107" s="121"/>
      <c r="D107"/>
      <c r="E107"/>
      <c r="F107"/>
      <c r="G107"/>
      <c r="H107"/>
      <c r="I107"/>
      <c r="J107"/>
      <c r="L107"/>
      <c r="M107"/>
      <c r="Q107"/>
    </row>
    <row r="108" spans="1:17" x14ac:dyDescent="0.2">
      <c r="C108" s="121"/>
      <c r="D108"/>
      <c r="E108"/>
      <c r="F108"/>
      <c r="G108"/>
      <c r="H108"/>
      <c r="I108"/>
      <c r="J108"/>
      <c r="L108"/>
      <c r="M108"/>
      <c r="Q108"/>
    </row>
    <row r="109" spans="1:17" x14ac:dyDescent="0.2">
      <c r="C109" s="121"/>
      <c r="D109"/>
      <c r="E109"/>
      <c r="F109"/>
      <c r="G109"/>
      <c r="H109"/>
      <c r="I109"/>
      <c r="J109"/>
      <c r="L109"/>
      <c r="M109"/>
      <c r="Q109"/>
    </row>
    <row r="110" spans="1:17" x14ac:dyDescent="0.2">
      <c r="C110" s="121"/>
      <c r="D110"/>
      <c r="E110"/>
      <c r="F110"/>
      <c r="G110"/>
      <c r="H110"/>
      <c r="I110"/>
      <c r="J110"/>
      <c r="L110"/>
      <c r="M110"/>
      <c r="Q110"/>
    </row>
    <row r="111" spans="1:17" x14ac:dyDescent="0.2">
      <c r="C111" s="121"/>
      <c r="D111"/>
      <c r="E111"/>
      <c r="F111"/>
      <c r="G111"/>
      <c r="H111"/>
      <c r="I111"/>
      <c r="J111"/>
      <c r="L111"/>
      <c r="M111"/>
      <c r="Q111"/>
    </row>
    <row r="112" spans="1:17" x14ac:dyDescent="0.2">
      <c r="C112" s="121"/>
      <c r="D112"/>
      <c r="E112"/>
      <c r="F112"/>
      <c r="G112"/>
      <c r="H112"/>
      <c r="I112"/>
      <c r="J112"/>
      <c r="L112"/>
      <c r="M112"/>
      <c r="Q112"/>
    </row>
    <row r="113" spans="3:17" x14ac:dyDescent="0.2">
      <c r="C113" s="121"/>
      <c r="D113"/>
      <c r="E113"/>
      <c r="F113"/>
      <c r="G113"/>
      <c r="H113"/>
      <c r="I113"/>
      <c r="J113"/>
      <c r="L113"/>
      <c r="M113"/>
      <c r="Q113"/>
    </row>
    <row r="114" spans="3:17" x14ac:dyDescent="0.2">
      <c r="C114" s="121"/>
      <c r="D114"/>
      <c r="E114"/>
      <c r="F114"/>
      <c r="G114"/>
      <c r="H114"/>
      <c r="I114"/>
      <c r="J114"/>
      <c r="L114"/>
      <c r="M114"/>
      <c r="Q114"/>
    </row>
    <row r="115" spans="3:17" x14ac:dyDescent="0.2">
      <c r="C115" s="121"/>
      <c r="D115"/>
      <c r="E115"/>
      <c r="F115"/>
      <c r="G115"/>
      <c r="H115"/>
      <c r="I115"/>
      <c r="J115"/>
      <c r="L115"/>
      <c r="M115"/>
      <c r="Q115"/>
    </row>
    <row r="116" spans="3:17" x14ac:dyDescent="0.2">
      <c r="C116" s="121"/>
      <c r="D116"/>
      <c r="E116"/>
      <c r="F116"/>
      <c r="G116"/>
      <c r="H116"/>
      <c r="I116"/>
      <c r="J116"/>
      <c r="L116"/>
      <c r="M116"/>
      <c r="Q116"/>
    </row>
    <row r="117" spans="3:17" x14ac:dyDescent="0.2">
      <c r="C117" s="121"/>
      <c r="D117"/>
      <c r="E117"/>
      <c r="F117"/>
      <c r="G117"/>
      <c r="H117"/>
      <c r="I117"/>
      <c r="J117"/>
      <c r="L117"/>
      <c r="M117"/>
      <c r="Q117"/>
    </row>
    <row r="118" spans="3:17" x14ac:dyDescent="0.2">
      <c r="C118" s="121"/>
      <c r="D118"/>
      <c r="E118"/>
      <c r="F118"/>
      <c r="G118"/>
      <c r="H118"/>
      <c r="I118"/>
      <c r="J118"/>
      <c r="L118"/>
      <c r="M118"/>
      <c r="Q118"/>
    </row>
    <row r="119" spans="3:17" x14ac:dyDescent="0.2">
      <c r="C119" s="121"/>
      <c r="D119"/>
      <c r="E119"/>
      <c r="F119"/>
      <c r="G119"/>
      <c r="H119"/>
      <c r="I119"/>
      <c r="J119"/>
      <c r="L119"/>
      <c r="M119"/>
      <c r="Q119"/>
    </row>
    <row r="120" spans="3:17" x14ac:dyDescent="0.2">
      <c r="C120" s="121"/>
      <c r="D120"/>
      <c r="E120"/>
      <c r="F120"/>
      <c r="G120"/>
      <c r="H120"/>
      <c r="I120"/>
      <c r="J120"/>
      <c r="L120"/>
      <c r="M120"/>
      <c r="Q120"/>
    </row>
    <row r="121" spans="3:17" x14ac:dyDescent="0.2">
      <c r="C121" s="121"/>
      <c r="D121"/>
      <c r="E121"/>
      <c r="F121"/>
      <c r="G121"/>
      <c r="H121"/>
      <c r="I121"/>
      <c r="J121"/>
      <c r="L121"/>
      <c r="M121"/>
      <c r="Q121"/>
    </row>
    <row r="122" spans="3:17" x14ac:dyDescent="0.2">
      <c r="C122" s="121"/>
      <c r="D122"/>
      <c r="E122"/>
      <c r="F122"/>
      <c r="G122"/>
      <c r="H122"/>
      <c r="I122"/>
      <c r="J122"/>
      <c r="L122"/>
      <c r="M122"/>
      <c r="Q122"/>
    </row>
    <row r="123" spans="3:17" x14ac:dyDescent="0.2">
      <c r="C123" s="121"/>
      <c r="D123"/>
      <c r="E123"/>
      <c r="F123"/>
      <c r="G123"/>
      <c r="H123"/>
      <c r="I123"/>
      <c r="J123"/>
      <c r="L123"/>
      <c r="M123"/>
      <c r="Q123"/>
    </row>
    <row r="124" spans="3:17" x14ac:dyDescent="0.2">
      <c r="C124" s="121"/>
      <c r="D124"/>
      <c r="E124"/>
      <c r="F124"/>
      <c r="G124"/>
      <c r="H124"/>
      <c r="I124"/>
      <c r="J124"/>
      <c r="L124"/>
      <c r="M124"/>
      <c r="Q124"/>
    </row>
    <row r="125" spans="3:17" x14ac:dyDescent="0.2">
      <c r="C125" s="121"/>
      <c r="D125"/>
      <c r="E125"/>
      <c r="F125"/>
      <c r="G125"/>
      <c r="H125"/>
      <c r="I125"/>
      <c r="J125"/>
      <c r="L125"/>
      <c r="M125"/>
      <c r="Q125"/>
    </row>
    <row r="126" spans="3:17" x14ac:dyDescent="0.2">
      <c r="C126" s="121"/>
      <c r="D126"/>
      <c r="E126"/>
      <c r="F126"/>
      <c r="G126"/>
      <c r="H126"/>
      <c r="I126"/>
      <c r="J126"/>
      <c r="L126"/>
      <c r="M126"/>
      <c r="Q126"/>
    </row>
    <row r="127" spans="3:17" x14ac:dyDescent="0.2">
      <c r="C127" s="121"/>
      <c r="D127"/>
      <c r="E127"/>
      <c r="F127"/>
      <c r="G127"/>
      <c r="H127"/>
      <c r="I127"/>
      <c r="J127"/>
      <c r="L127"/>
      <c r="M127"/>
      <c r="Q127"/>
    </row>
    <row r="128" spans="3:17" x14ac:dyDescent="0.2">
      <c r="C128" s="121"/>
      <c r="D128"/>
      <c r="E128"/>
      <c r="F128"/>
      <c r="G128"/>
      <c r="H128"/>
      <c r="I128"/>
      <c r="J128"/>
      <c r="L128"/>
      <c r="M128"/>
      <c r="Q128"/>
    </row>
    <row r="129" spans="3:17" x14ac:dyDescent="0.2">
      <c r="C129" s="121"/>
      <c r="D129"/>
      <c r="E129"/>
      <c r="F129"/>
      <c r="G129"/>
      <c r="H129"/>
      <c r="I129"/>
      <c r="J129"/>
      <c r="L129"/>
      <c r="M129"/>
      <c r="Q129"/>
    </row>
    <row r="130" spans="3:17" x14ac:dyDescent="0.2">
      <c r="C130" s="121"/>
      <c r="D130"/>
      <c r="E130"/>
      <c r="F130"/>
      <c r="G130"/>
      <c r="H130"/>
      <c r="I130"/>
      <c r="J130"/>
      <c r="L130"/>
      <c r="M130"/>
      <c r="Q130"/>
    </row>
    <row r="131" spans="3:17" x14ac:dyDescent="0.2">
      <c r="C131" s="121"/>
      <c r="D131"/>
      <c r="E131"/>
      <c r="F131"/>
      <c r="G131"/>
      <c r="H131"/>
      <c r="I131"/>
      <c r="J131"/>
      <c r="L131"/>
      <c r="M131"/>
      <c r="Q131"/>
    </row>
    <row r="132" spans="3:17" x14ac:dyDescent="0.2">
      <c r="C132" s="121"/>
      <c r="D132"/>
      <c r="E132"/>
      <c r="F132"/>
      <c r="G132"/>
      <c r="H132"/>
      <c r="I132"/>
      <c r="J132"/>
      <c r="L132"/>
      <c r="M132"/>
      <c r="Q132"/>
    </row>
    <row r="133" spans="3:17" x14ac:dyDescent="0.2">
      <c r="C133" s="121"/>
      <c r="D133"/>
      <c r="E133"/>
      <c r="F133"/>
      <c r="G133"/>
      <c r="H133"/>
      <c r="I133"/>
      <c r="J133"/>
      <c r="L133"/>
      <c r="M133"/>
      <c r="Q133"/>
    </row>
    <row r="134" spans="3:17" x14ac:dyDescent="0.2">
      <c r="C134" s="121"/>
      <c r="D134"/>
      <c r="E134"/>
      <c r="F134"/>
      <c r="G134"/>
      <c r="H134"/>
      <c r="I134"/>
      <c r="J134"/>
      <c r="L134"/>
      <c r="M134"/>
      <c r="Q134"/>
    </row>
    <row r="135" spans="3:17" x14ac:dyDescent="0.2">
      <c r="C135" s="121"/>
      <c r="D135"/>
      <c r="E135"/>
      <c r="F135"/>
      <c r="G135"/>
      <c r="H135"/>
      <c r="I135"/>
      <c r="J135"/>
      <c r="L135"/>
      <c r="M135"/>
      <c r="Q135"/>
    </row>
    <row r="136" spans="3:17" x14ac:dyDescent="0.2">
      <c r="C136" s="121"/>
      <c r="D136"/>
      <c r="E136"/>
      <c r="F136"/>
      <c r="G136"/>
      <c r="H136"/>
      <c r="I136"/>
      <c r="J136"/>
      <c r="L136"/>
      <c r="M136"/>
      <c r="Q136"/>
    </row>
    <row r="137" spans="3:17" x14ac:dyDescent="0.2">
      <c r="C137" s="121"/>
      <c r="D137"/>
      <c r="E137"/>
      <c r="F137"/>
      <c r="G137"/>
      <c r="H137"/>
      <c r="I137"/>
      <c r="J137"/>
      <c r="L137"/>
      <c r="M137"/>
      <c r="Q137"/>
    </row>
    <row r="138" spans="3:17" x14ac:dyDescent="0.2">
      <c r="C138" s="121"/>
      <c r="D138"/>
      <c r="E138"/>
      <c r="F138"/>
      <c r="G138"/>
      <c r="H138"/>
      <c r="I138"/>
      <c r="J138"/>
      <c r="L138"/>
      <c r="M138"/>
      <c r="Q138"/>
    </row>
    <row r="139" spans="3:17" x14ac:dyDescent="0.2">
      <c r="C139" s="121"/>
      <c r="D139"/>
      <c r="E139"/>
      <c r="F139"/>
      <c r="G139"/>
      <c r="H139"/>
      <c r="I139"/>
      <c r="J139"/>
      <c r="L139"/>
      <c r="M139"/>
      <c r="Q139"/>
    </row>
    <row r="140" spans="3:17" x14ac:dyDescent="0.2">
      <c r="C140" s="121"/>
      <c r="D140"/>
      <c r="E140"/>
      <c r="F140"/>
      <c r="G140"/>
      <c r="H140"/>
      <c r="I140"/>
      <c r="J140"/>
      <c r="L140"/>
      <c r="M140"/>
      <c r="Q140"/>
    </row>
    <row r="141" spans="3:17" x14ac:dyDescent="0.2">
      <c r="C141" s="121"/>
      <c r="D141"/>
      <c r="E141"/>
      <c r="F141"/>
      <c r="G141"/>
      <c r="H141"/>
      <c r="I141"/>
      <c r="J141"/>
      <c r="L141"/>
      <c r="M141"/>
      <c r="Q141"/>
    </row>
    <row r="142" spans="3:17" x14ac:dyDescent="0.2">
      <c r="C142" s="121"/>
      <c r="D142"/>
      <c r="E142"/>
      <c r="F142"/>
      <c r="G142"/>
      <c r="H142"/>
      <c r="I142"/>
      <c r="J142"/>
      <c r="L142"/>
      <c r="M142"/>
      <c r="Q142"/>
    </row>
    <row r="143" spans="3:17" x14ac:dyDescent="0.2">
      <c r="C143" s="121"/>
      <c r="D143"/>
      <c r="E143"/>
      <c r="F143"/>
      <c r="G143"/>
      <c r="H143"/>
      <c r="I143"/>
      <c r="J143"/>
      <c r="L143"/>
      <c r="M143"/>
      <c r="Q143"/>
    </row>
    <row r="144" spans="3:17" x14ac:dyDescent="0.2">
      <c r="C144" s="121"/>
      <c r="D144"/>
      <c r="E144"/>
      <c r="F144"/>
      <c r="G144"/>
      <c r="H144"/>
      <c r="I144"/>
      <c r="J144"/>
      <c r="L144"/>
      <c r="M144"/>
      <c r="Q144"/>
    </row>
    <row r="145" spans="3:17" x14ac:dyDescent="0.2">
      <c r="C145" s="121"/>
      <c r="D145"/>
      <c r="E145"/>
      <c r="F145"/>
      <c r="G145"/>
      <c r="H145"/>
      <c r="I145"/>
      <c r="J145"/>
      <c r="L145"/>
      <c r="M145"/>
      <c r="Q145"/>
    </row>
    <row r="146" spans="3:17" x14ac:dyDescent="0.2">
      <c r="C146" s="121"/>
      <c r="D146"/>
      <c r="E146"/>
      <c r="F146"/>
      <c r="G146"/>
      <c r="H146"/>
      <c r="I146"/>
      <c r="J146"/>
      <c r="L146"/>
      <c r="M146"/>
      <c r="Q146"/>
    </row>
    <row r="147" spans="3:17" x14ac:dyDescent="0.2">
      <c r="C147" s="121"/>
      <c r="D147"/>
      <c r="E147"/>
      <c r="F147"/>
      <c r="G147"/>
      <c r="H147"/>
      <c r="I147"/>
      <c r="J147"/>
      <c r="L147"/>
      <c r="M147"/>
      <c r="Q147"/>
    </row>
    <row r="148" spans="3:17" x14ac:dyDescent="0.2">
      <c r="C148" s="121"/>
      <c r="D148"/>
      <c r="E148"/>
      <c r="F148"/>
      <c r="G148"/>
      <c r="H148"/>
      <c r="I148"/>
      <c r="J148"/>
      <c r="L148"/>
      <c r="M148"/>
      <c r="Q148"/>
    </row>
    <row r="149" spans="3:17" x14ac:dyDescent="0.2">
      <c r="C149" s="121"/>
      <c r="D149"/>
      <c r="E149"/>
      <c r="F149"/>
      <c r="G149"/>
      <c r="H149"/>
      <c r="I149"/>
      <c r="J149"/>
      <c r="L149"/>
      <c r="M149"/>
      <c r="Q149"/>
    </row>
    <row r="150" spans="3:17" x14ac:dyDescent="0.2">
      <c r="C150" s="121"/>
      <c r="D150"/>
      <c r="E150"/>
      <c r="F150"/>
      <c r="G150"/>
      <c r="H150"/>
      <c r="I150"/>
      <c r="J150"/>
      <c r="L150"/>
      <c r="M150"/>
      <c r="Q150"/>
    </row>
    <row r="151" spans="3:17" x14ac:dyDescent="0.2">
      <c r="C151" s="121"/>
      <c r="D151"/>
      <c r="E151"/>
      <c r="F151"/>
      <c r="G151"/>
      <c r="H151"/>
      <c r="I151"/>
      <c r="J151"/>
      <c r="L151"/>
      <c r="M151"/>
      <c r="Q151"/>
    </row>
    <row r="152" spans="3:17" x14ac:dyDescent="0.2">
      <c r="C152" s="121"/>
      <c r="D152"/>
      <c r="E152"/>
      <c r="F152"/>
      <c r="G152"/>
      <c r="H152"/>
      <c r="I152"/>
      <c r="J152"/>
      <c r="L152"/>
      <c r="M152"/>
      <c r="Q152"/>
    </row>
    <row r="153" spans="3:17" x14ac:dyDescent="0.2">
      <c r="C153" s="121"/>
      <c r="D153"/>
      <c r="E153"/>
      <c r="F153"/>
      <c r="G153"/>
      <c r="H153"/>
      <c r="I153"/>
      <c r="J153"/>
      <c r="L153"/>
      <c r="M153"/>
      <c r="Q153"/>
    </row>
    <row r="154" spans="3:17" x14ac:dyDescent="0.2">
      <c r="C154" s="121"/>
      <c r="D154"/>
      <c r="E154"/>
      <c r="F154"/>
      <c r="G154"/>
      <c r="H154"/>
      <c r="I154"/>
      <c r="J154"/>
      <c r="L154"/>
      <c r="M154"/>
      <c r="Q154"/>
    </row>
    <row r="155" spans="3:17" x14ac:dyDescent="0.2">
      <c r="C155" s="121"/>
      <c r="D155"/>
      <c r="E155"/>
      <c r="F155"/>
      <c r="G155"/>
      <c r="H155"/>
      <c r="I155"/>
      <c r="J155"/>
      <c r="L155"/>
      <c r="M155"/>
      <c r="Q155"/>
    </row>
    <row r="156" spans="3:17" x14ac:dyDescent="0.2">
      <c r="C156" s="121"/>
      <c r="D156"/>
      <c r="E156"/>
      <c r="F156"/>
      <c r="G156"/>
      <c r="H156"/>
      <c r="I156"/>
      <c r="J156"/>
      <c r="L156"/>
      <c r="M156"/>
      <c r="Q156"/>
    </row>
    <row r="157" spans="3:17" x14ac:dyDescent="0.2">
      <c r="C157" s="121"/>
      <c r="D157"/>
      <c r="E157"/>
      <c r="F157"/>
      <c r="G157"/>
      <c r="H157"/>
      <c r="I157"/>
      <c r="J157"/>
      <c r="L157"/>
      <c r="M157"/>
      <c r="Q157"/>
    </row>
    <row r="158" spans="3:17" x14ac:dyDescent="0.2">
      <c r="C158" s="121"/>
      <c r="D158"/>
      <c r="E158"/>
      <c r="F158"/>
      <c r="G158"/>
      <c r="H158"/>
      <c r="I158"/>
      <c r="J158"/>
      <c r="L158"/>
      <c r="M158"/>
      <c r="Q158"/>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2" orientation="landscape" horizontalDpi="300" verticalDpi="300" r:id="rId1"/>
  <headerFooter alignWithMargins="0">
    <oddFooter>&amp;L&amp;D     &amp;T&amp;C&amp;F&amp;R&amp;A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8"/>
  <sheetViews>
    <sheetView zoomScale="85" workbookViewId="0">
      <pane ySplit="7" topLeftCell="A8" activePane="bottomLeft" state="frozen"/>
      <selection activeCell="K15" sqref="K15"/>
      <selection pane="bottomLeft" activeCell="K15" sqref="K15"/>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256</v>
      </c>
      <c r="B2" s="49"/>
      <c r="E2" s="153"/>
      <c r="H2" s="153" t="s">
        <v>252</v>
      </c>
      <c r="I2" s="153"/>
      <c r="J2" s="153"/>
      <c r="K2" s="67" t="s">
        <v>295</v>
      </c>
      <c r="M2" s="50" t="s">
        <v>484</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20"/>
      <c r="J8" s="20"/>
      <c r="K8" s="19"/>
      <c r="L8" s="20"/>
      <c r="M8" s="20"/>
    </row>
    <row r="9" spans="1:16" ht="13.5" thickBot="1" x14ac:dyDescent="0.25">
      <c r="A9" s="12">
        <v>5114</v>
      </c>
      <c r="B9" s="69" t="s">
        <v>0</v>
      </c>
      <c r="C9" s="140">
        <v>1584</v>
      </c>
      <c r="D9" s="14">
        <v>1631</v>
      </c>
      <c r="E9" s="14">
        <v>1631</v>
      </c>
      <c r="F9" s="16">
        <v>1631</v>
      </c>
      <c r="G9" s="16">
        <v>1631</v>
      </c>
      <c r="H9" s="16">
        <v>1631</v>
      </c>
      <c r="I9" s="17">
        <v>1631</v>
      </c>
      <c r="J9" s="17">
        <v>1710</v>
      </c>
      <c r="K9" s="16">
        <v>0</v>
      </c>
      <c r="L9" s="17">
        <v>1710</v>
      </c>
      <c r="M9" s="17"/>
    </row>
    <row r="10" spans="1:16" x14ac:dyDescent="0.2">
      <c r="A10" s="12"/>
      <c r="B10" s="70" t="s">
        <v>125</v>
      </c>
      <c r="C10" s="142">
        <f t="shared" ref="C10:M10" si="0">SUM(C9:C9)</f>
        <v>1584</v>
      </c>
      <c r="D10" s="19">
        <f t="shared" si="0"/>
        <v>1631</v>
      </c>
      <c r="E10" s="19">
        <f t="shared" si="0"/>
        <v>1631</v>
      </c>
      <c r="F10" s="19">
        <f t="shared" si="0"/>
        <v>1631</v>
      </c>
      <c r="G10" s="19">
        <f t="shared" si="0"/>
        <v>1631</v>
      </c>
      <c r="H10" s="19">
        <f>SUM(H9:H9)</f>
        <v>1631</v>
      </c>
      <c r="I10" s="20">
        <f t="shared" si="0"/>
        <v>1631</v>
      </c>
      <c r="J10" s="20">
        <f t="shared" ref="J10" si="1">SUM(J9:J9)</f>
        <v>1710</v>
      </c>
      <c r="K10" s="19">
        <f t="shared" si="0"/>
        <v>0</v>
      </c>
      <c r="L10" s="20">
        <f t="shared" si="0"/>
        <v>1710</v>
      </c>
      <c r="M10" s="20">
        <f t="shared" si="0"/>
        <v>0</v>
      </c>
    </row>
    <row r="11" spans="1:16" x14ac:dyDescent="0.2">
      <c r="A11" s="12"/>
      <c r="B11" s="69"/>
      <c r="C11" s="140"/>
      <c r="D11" s="14"/>
      <c r="E11" s="14"/>
      <c r="F11" s="14"/>
      <c r="G11" s="14"/>
      <c r="H11" s="14"/>
      <c r="I11" s="15"/>
      <c r="J11" s="15"/>
      <c r="K11" s="14"/>
      <c r="L11" s="15"/>
      <c r="M11" s="15"/>
    </row>
    <row r="12" spans="1:16" ht="13.5" thickBot="1" x14ac:dyDescent="0.25">
      <c r="A12" s="21"/>
      <c r="B12" s="825" t="s">
        <v>132</v>
      </c>
      <c r="C12" s="816">
        <f t="shared" ref="C12:L12" si="2">+C10</f>
        <v>1584</v>
      </c>
      <c r="D12" s="23">
        <f t="shared" si="2"/>
        <v>1631</v>
      </c>
      <c r="E12" s="23">
        <f t="shared" si="2"/>
        <v>1631</v>
      </c>
      <c r="F12" s="23">
        <f t="shared" si="2"/>
        <v>1631</v>
      </c>
      <c r="G12" s="23">
        <f t="shared" si="2"/>
        <v>1631</v>
      </c>
      <c r="H12" s="23">
        <f t="shared" si="2"/>
        <v>1631</v>
      </c>
      <c r="I12" s="24">
        <f t="shared" si="2"/>
        <v>1631</v>
      </c>
      <c r="J12" s="24">
        <f t="shared" ref="J12" si="3">+J10</f>
        <v>1710</v>
      </c>
      <c r="K12" s="24">
        <f t="shared" si="2"/>
        <v>0</v>
      </c>
      <c r="L12" s="24">
        <f t="shared" si="2"/>
        <v>1710</v>
      </c>
      <c r="M12" s="24">
        <f>+L12</f>
        <v>1710</v>
      </c>
    </row>
    <row r="13" spans="1:16" ht="13.5" thickTop="1" x14ac:dyDescent="0.2">
      <c r="A13" s="4"/>
      <c r="B13" s="826"/>
      <c r="C13" s="26"/>
      <c r="D13" s="26"/>
      <c r="E13" s="26"/>
      <c r="F13" s="26"/>
      <c r="G13" s="26"/>
      <c r="H13" s="26"/>
      <c r="I13" s="26"/>
      <c r="J13" s="26"/>
      <c r="K13" s="27"/>
      <c r="L13" s="26"/>
      <c r="M13" s="26"/>
      <c r="N13" s="27"/>
      <c r="O13" s="27"/>
      <c r="P13" s="27"/>
    </row>
    <row r="14" spans="1:16" ht="13.5" thickBot="1" x14ac:dyDescent="0.25">
      <c r="A14" s="72"/>
      <c r="B14" s="826"/>
      <c r="C14" s="25"/>
      <c r="D14" s="25"/>
      <c r="E14" s="25"/>
      <c r="F14" s="25"/>
      <c r="G14" s="25"/>
      <c r="H14" s="25"/>
      <c r="I14" s="25"/>
      <c r="J14" s="25"/>
      <c r="K14" s="29"/>
      <c r="L14" s="25"/>
      <c r="M14" s="29"/>
      <c r="N14" s="29"/>
      <c r="O14" s="29"/>
      <c r="P14" s="29"/>
    </row>
    <row r="15" spans="1:16" ht="13.5" thickTop="1" x14ac:dyDescent="0.2">
      <c r="A15" s="517"/>
      <c r="B15" s="827"/>
      <c r="C15" s="817" t="s">
        <v>122</v>
      </c>
      <c r="D15" s="520" t="s">
        <v>122</v>
      </c>
      <c r="E15" s="520" t="s">
        <v>122</v>
      </c>
      <c r="G15" s="523"/>
      <c r="H15" s="521" t="s">
        <v>542</v>
      </c>
      <c r="I15" s="522" t="s">
        <v>9</v>
      </c>
      <c r="J15" s="523" t="s">
        <v>1073</v>
      </c>
      <c r="K15" s="522" t="s">
        <v>682</v>
      </c>
      <c r="L15" s="524"/>
      <c r="M15" s="523"/>
      <c r="N15" s="27"/>
      <c r="O15" s="29"/>
      <c r="P15" s="29"/>
    </row>
    <row r="16" spans="1:16" ht="13.5" thickBot="1" x14ac:dyDescent="0.25">
      <c r="A16" s="525" t="s">
        <v>123</v>
      </c>
      <c r="B16" s="526"/>
      <c r="C16" s="580" t="s">
        <v>334</v>
      </c>
      <c r="D16" s="527" t="s">
        <v>718</v>
      </c>
      <c r="E16" s="528" t="s">
        <v>734</v>
      </c>
      <c r="G16" s="529"/>
      <c r="H16" s="529" t="s">
        <v>899</v>
      </c>
      <c r="I16" s="529" t="s">
        <v>900</v>
      </c>
      <c r="J16" s="528" t="s">
        <v>1075</v>
      </c>
      <c r="K16" s="530" t="s">
        <v>1075</v>
      </c>
      <c r="L16" s="531" t="s">
        <v>1074</v>
      </c>
      <c r="M16" s="529"/>
      <c r="N16" s="27"/>
      <c r="O16" s="29"/>
      <c r="P16" s="29"/>
    </row>
    <row r="17" spans="1:16" ht="13.5" thickTop="1" x14ac:dyDescent="0.2">
      <c r="A17" s="548"/>
      <c r="B17" s="577"/>
      <c r="C17" s="586"/>
      <c r="D17" s="536"/>
      <c r="E17" s="536"/>
      <c r="G17" s="539"/>
      <c r="H17" s="537"/>
      <c r="I17" s="560"/>
      <c r="J17" s="561"/>
      <c r="K17" s="559"/>
      <c r="L17" s="538"/>
      <c r="M17" s="539"/>
      <c r="N17" s="29"/>
      <c r="O17" s="29"/>
      <c r="P17" s="29"/>
    </row>
    <row r="18" spans="1:16" x14ac:dyDescent="0.2">
      <c r="A18" s="551">
        <v>5114</v>
      </c>
      <c r="B18" s="573" t="s">
        <v>0</v>
      </c>
      <c r="C18" s="589">
        <v>1584</v>
      </c>
      <c r="D18" s="544">
        <v>1631</v>
      </c>
      <c r="E18" s="544">
        <v>1631</v>
      </c>
      <c r="G18" s="539"/>
      <c r="H18" s="543">
        <f>+J9</f>
        <v>1710</v>
      </c>
      <c r="I18" s="544">
        <f>+L9</f>
        <v>1710</v>
      </c>
      <c r="J18" s="539">
        <f>+I18-H18</f>
        <v>0</v>
      </c>
      <c r="K18" s="545" t="str">
        <f>IF(H18+I18&lt;&gt;0,IF(H18&lt;&gt;0,IF(J18&lt;&gt;0,ROUND((+J18/H18),4),""),1),"")</f>
        <v/>
      </c>
      <c r="L18" s="538"/>
      <c r="M18" s="539"/>
      <c r="N18" s="29"/>
      <c r="O18" s="29"/>
      <c r="P18" s="29"/>
    </row>
    <row r="19" spans="1:16" x14ac:dyDescent="0.2">
      <c r="A19" s="4"/>
      <c r="B19" s="4"/>
      <c r="C19" s="25"/>
      <c r="D19" s="25"/>
      <c r="E19" s="25"/>
      <c r="F19" s="25"/>
      <c r="G19" s="25"/>
      <c r="H19" s="25"/>
      <c r="I19" s="25"/>
      <c r="J19" s="25"/>
      <c r="K19" s="29"/>
      <c r="L19" s="25"/>
      <c r="M19" s="25"/>
      <c r="N19" s="29"/>
      <c r="O19" s="29"/>
      <c r="P19" s="29"/>
    </row>
    <row r="20" spans="1:16" x14ac:dyDescent="0.2">
      <c r="A20" s="4"/>
      <c r="B20" s="4" t="s">
        <v>1600</v>
      </c>
      <c r="C20" s="25"/>
      <c r="D20" s="25"/>
      <c r="E20" s="25"/>
      <c r="F20" s="25"/>
      <c r="G20" s="25"/>
      <c r="H20" s="849">
        <f>SUM(H18:H19)</f>
        <v>1710</v>
      </c>
      <c r="I20" s="849">
        <f>SUM(I18:I19)</f>
        <v>1710</v>
      </c>
      <c r="J20" s="208">
        <f t="shared" ref="J20" si="4">+I20-H20</f>
        <v>0</v>
      </c>
      <c r="K20" s="850" t="str">
        <f t="shared" ref="K20" si="5">IF(H20+I20&lt;&gt;0,IF(H20&lt;&gt;0,IF(J20&lt;&gt;0,ROUND((+J20/H20),4),""),1),"")</f>
        <v/>
      </c>
      <c r="L20" s="25"/>
      <c r="M20" s="25"/>
      <c r="N20" s="29"/>
      <c r="O20" s="29"/>
      <c r="P20" s="29"/>
    </row>
    <row r="21" spans="1:16" x14ac:dyDescent="0.2">
      <c r="A21" s="4"/>
      <c r="B21" s="4"/>
      <c r="C21" s="25"/>
      <c r="D21" s="25"/>
      <c r="E21" s="25"/>
      <c r="F21" s="25"/>
      <c r="G21" s="25"/>
      <c r="H21" s="25"/>
      <c r="I21" s="25"/>
      <c r="J21" s="25"/>
      <c r="K21" s="29"/>
      <c r="L21" s="25"/>
      <c r="M21" s="25"/>
      <c r="N21" s="29"/>
      <c r="O21" s="29"/>
      <c r="P21" s="29"/>
    </row>
    <row r="22" spans="1:16" x14ac:dyDescent="0.2">
      <c r="A22" s="4"/>
      <c r="B22" s="4"/>
      <c r="C22" s="25"/>
      <c r="D22" s="25"/>
      <c r="E22" s="25"/>
      <c r="F22" s="25"/>
      <c r="G22" s="25"/>
      <c r="H22" s="25"/>
      <c r="I22" s="25"/>
      <c r="J22" s="25"/>
      <c r="K22" s="29"/>
      <c r="L22" s="25"/>
      <c r="M22" s="25"/>
      <c r="N22" s="29"/>
      <c r="O22" s="29"/>
      <c r="P22" s="29"/>
    </row>
    <row r="23" spans="1:16" x14ac:dyDescent="0.2">
      <c r="A23" s="4"/>
      <c r="B23" s="4"/>
      <c r="C23" s="25"/>
      <c r="D23" s="25"/>
      <c r="E23" s="25"/>
      <c r="F23" s="25"/>
      <c r="G23" s="25"/>
      <c r="H23" s="25"/>
      <c r="I23" s="25"/>
      <c r="J23" s="25"/>
      <c r="K23" s="29"/>
      <c r="L23" s="25"/>
      <c r="M23" s="25"/>
      <c r="N23" s="29"/>
      <c r="O23" s="29"/>
      <c r="P23" s="29"/>
    </row>
    <row r="24" spans="1:16" x14ac:dyDescent="0.2">
      <c r="A24" s="4"/>
      <c r="B24" s="4"/>
      <c r="C24" s="25"/>
      <c r="D24" s="25"/>
      <c r="E24" s="25"/>
      <c r="F24" s="25"/>
      <c r="G24" s="25"/>
      <c r="H24" s="25"/>
      <c r="I24" s="25"/>
      <c r="J24" s="25"/>
      <c r="K24" s="29"/>
      <c r="L24" s="25"/>
      <c r="M24" s="25"/>
      <c r="N24" s="29"/>
      <c r="O24" s="29"/>
      <c r="P24" s="29"/>
    </row>
    <row r="25" spans="1:16" x14ac:dyDescent="0.2">
      <c r="A25" s="4"/>
      <c r="B25" s="4"/>
      <c r="C25" s="25"/>
      <c r="D25" s="25"/>
      <c r="E25" s="25"/>
      <c r="F25" s="25"/>
      <c r="G25" s="25"/>
      <c r="H25" s="25"/>
      <c r="I25" s="25"/>
      <c r="J25" s="25"/>
      <c r="K25" s="29"/>
      <c r="L25" s="25"/>
      <c r="M25" s="25"/>
      <c r="N25" s="29"/>
      <c r="O25" s="29"/>
      <c r="P25" s="29"/>
    </row>
    <row r="26" spans="1:16" x14ac:dyDescent="0.2">
      <c r="A26" s="4"/>
      <c r="B26" s="4"/>
      <c r="C26" s="25"/>
      <c r="D26" s="25"/>
      <c r="E26" s="25"/>
      <c r="F26" s="25"/>
      <c r="G26" s="25"/>
      <c r="H26" s="25"/>
      <c r="I26" s="25"/>
      <c r="J26" s="25"/>
      <c r="K26" s="29"/>
      <c r="L26" s="25"/>
      <c r="M26" s="25"/>
      <c r="N26" s="29"/>
      <c r="O26" s="29"/>
      <c r="P26" s="29"/>
    </row>
    <row r="27" spans="1:16" x14ac:dyDescent="0.2">
      <c r="A27" s="4"/>
      <c r="B27" s="4"/>
      <c r="C27" s="25"/>
      <c r="D27" s="25"/>
      <c r="E27" s="25"/>
      <c r="F27" s="25"/>
      <c r="G27" s="25"/>
      <c r="H27" s="25"/>
      <c r="I27" s="25"/>
      <c r="J27" s="25"/>
      <c r="K27" s="29"/>
      <c r="L27" s="25"/>
      <c r="M27" s="25"/>
      <c r="N27" s="29"/>
      <c r="O27" s="29"/>
      <c r="P27" s="29"/>
    </row>
    <row r="28" spans="1:16" x14ac:dyDescent="0.2">
      <c r="A28" s="4"/>
      <c r="B28" s="4"/>
      <c r="C28" s="25"/>
      <c r="D28" s="25"/>
      <c r="E28" s="25"/>
      <c r="F28" s="25"/>
      <c r="G28" s="25"/>
      <c r="H28" s="25"/>
      <c r="I28" s="25"/>
      <c r="J28" s="25"/>
      <c r="K28" s="29"/>
      <c r="L28" s="25"/>
      <c r="M28" s="25"/>
      <c r="N28" s="29"/>
      <c r="O28" s="29"/>
      <c r="P28" s="29"/>
    </row>
    <row r="29" spans="1:16" x14ac:dyDescent="0.2">
      <c r="A29" s="4"/>
      <c r="B29" s="4"/>
      <c r="C29" s="25"/>
      <c r="D29" s="25"/>
      <c r="E29" s="25"/>
      <c r="F29" s="25"/>
      <c r="G29" s="25"/>
      <c r="H29" s="25"/>
      <c r="I29" s="25"/>
      <c r="J29" s="25"/>
      <c r="K29" s="29"/>
      <c r="L29" s="25"/>
      <c r="M29" s="25"/>
      <c r="N29" s="29"/>
      <c r="O29" s="29"/>
      <c r="P29" s="29"/>
    </row>
    <row r="30" spans="1:16" x14ac:dyDescent="0.2">
      <c r="A30" s="4"/>
      <c r="B30" s="4"/>
      <c r="C30" s="25"/>
      <c r="D30" s="25"/>
      <c r="E30" s="25"/>
      <c r="F30" s="25"/>
      <c r="G30" s="25"/>
      <c r="H30" s="25"/>
      <c r="I30" s="25"/>
      <c r="J30" s="25"/>
      <c r="K30" s="29"/>
      <c r="L30" s="25"/>
      <c r="M30" s="25"/>
      <c r="N30" s="29"/>
      <c r="O30" s="29"/>
      <c r="P30" s="29"/>
    </row>
    <row r="31" spans="1:16" x14ac:dyDescent="0.2">
      <c r="A31" s="4"/>
      <c r="B31" s="4"/>
      <c r="C31" s="25"/>
      <c r="D31" s="25"/>
      <c r="E31" s="25"/>
      <c r="F31" s="25"/>
      <c r="G31" s="25"/>
      <c r="H31" s="25"/>
      <c r="I31" s="25"/>
      <c r="J31" s="25"/>
      <c r="K31" s="29"/>
      <c r="L31" s="25"/>
      <c r="M31" s="25"/>
      <c r="N31" s="29"/>
      <c r="O31" s="29"/>
      <c r="P31" s="29"/>
    </row>
    <row r="32" spans="1:16" x14ac:dyDescent="0.2">
      <c r="A32" s="4"/>
      <c r="B32" s="4"/>
      <c r="C32" s="25"/>
      <c r="D32" s="25"/>
      <c r="E32" s="25"/>
      <c r="F32" s="25"/>
      <c r="G32" s="25"/>
      <c r="H32" s="25"/>
      <c r="I32" s="25"/>
      <c r="J32" s="25"/>
      <c r="K32" s="29"/>
      <c r="L32" s="25"/>
      <c r="M32" s="25"/>
      <c r="N32" s="29"/>
      <c r="O32" s="29"/>
      <c r="P32" s="29"/>
    </row>
    <row r="33" spans="1:16" x14ac:dyDescent="0.2">
      <c r="A33" s="4"/>
      <c r="B33" s="4"/>
      <c r="C33" s="25"/>
      <c r="D33" s="25"/>
      <c r="E33" s="25"/>
      <c r="F33" s="25"/>
      <c r="G33" s="25"/>
      <c r="H33" s="25"/>
      <c r="I33" s="25"/>
      <c r="J33" s="25"/>
      <c r="K33" s="29"/>
      <c r="L33" s="25"/>
      <c r="M33" s="25"/>
      <c r="N33" s="29"/>
      <c r="O33" s="29"/>
      <c r="P33" s="29"/>
    </row>
    <row r="34" spans="1:16" x14ac:dyDescent="0.2">
      <c r="A34" s="4"/>
      <c r="B34" s="4"/>
      <c r="C34" s="25"/>
      <c r="D34" s="25"/>
      <c r="E34" s="25"/>
      <c r="F34" s="25"/>
      <c r="G34" s="25"/>
      <c r="H34" s="25"/>
      <c r="I34" s="25"/>
      <c r="J34" s="25"/>
      <c r="K34" s="29"/>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9"/>
      <c r="L42" s="25"/>
      <c r="M42" s="25"/>
      <c r="N42" s="29"/>
      <c r="O42" s="29"/>
      <c r="P42" s="29"/>
    </row>
    <row r="43" spans="1:16" x14ac:dyDescent="0.2">
      <c r="A43" s="4"/>
      <c r="B43" s="4"/>
      <c r="C43" s="25"/>
      <c r="D43" s="25"/>
      <c r="E43" s="25"/>
      <c r="F43" s="25"/>
      <c r="G43" s="25"/>
      <c r="H43" s="25"/>
      <c r="I43" s="25"/>
      <c r="J43" s="25"/>
      <c r="K43" s="29"/>
      <c r="L43" s="25"/>
      <c r="M43" s="25"/>
      <c r="N43" s="29"/>
      <c r="O43" s="29"/>
      <c r="P43" s="29"/>
    </row>
    <row r="44" spans="1:16" x14ac:dyDescent="0.2">
      <c r="A44" s="4"/>
      <c r="B44" s="4"/>
      <c r="C44" s="25"/>
      <c r="D44" s="25"/>
      <c r="E44" s="25"/>
      <c r="F44" s="25"/>
      <c r="G44" s="25"/>
      <c r="H44" s="25"/>
      <c r="I44" s="25"/>
      <c r="J44" s="25"/>
      <c r="K44" s="29"/>
      <c r="L44" s="25"/>
      <c r="M44" s="25"/>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c r="C46" s="25"/>
      <c r="D46" s="25"/>
      <c r="E46" s="25"/>
      <c r="F46" s="25"/>
      <c r="G46" s="25"/>
      <c r="H46" s="25"/>
      <c r="I46" s="25"/>
      <c r="J46" s="25"/>
      <c r="K46" s="29"/>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29"/>
      <c r="L50" s="25"/>
      <c r="M50" s="25"/>
      <c r="N50" s="29"/>
      <c r="O50" s="29"/>
      <c r="P50" s="29"/>
    </row>
    <row r="51" spans="1:16" x14ac:dyDescent="0.2">
      <c r="A51" s="4"/>
      <c r="B51" s="4"/>
      <c r="C51" s="25"/>
      <c r="D51" s="25"/>
      <c r="E51" s="25"/>
      <c r="F51" s="25"/>
      <c r="G51" s="25"/>
      <c r="H51" s="25"/>
      <c r="I51" s="25"/>
      <c r="J51" s="25"/>
      <c r="K51" s="4"/>
      <c r="L51" s="25"/>
      <c r="M51" s="25"/>
      <c r="N51" s="4"/>
      <c r="O51" s="4"/>
      <c r="P51" s="4"/>
    </row>
    <row r="52" spans="1:16" x14ac:dyDescent="0.2">
      <c r="A52" s="4"/>
      <c r="B52" s="4"/>
      <c r="C52" s="25"/>
      <c r="D52" s="25"/>
      <c r="E52" s="25"/>
      <c r="F52" s="25"/>
      <c r="G52" s="25"/>
      <c r="H52" s="25"/>
      <c r="I52" s="25"/>
      <c r="J52" s="25"/>
      <c r="K52" s="4"/>
      <c r="L52" s="25"/>
      <c r="M52" s="25"/>
      <c r="N52" s="4"/>
      <c r="O52" s="4"/>
      <c r="P52" s="4"/>
    </row>
    <row r="53" spans="1:16" x14ac:dyDescent="0.2">
      <c r="A53" s="4"/>
      <c r="B53" s="4"/>
      <c r="C53" s="25"/>
      <c r="D53" s="25"/>
      <c r="E53" s="25"/>
      <c r="F53" s="25"/>
      <c r="G53" s="25"/>
      <c r="H53" s="25"/>
      <c r="I53" s="25"/>
      <c r="J53" s="25"/>
      <c r="K53" s="4"/>
      <c r="L53" s="25"/>
      <c r="M53" s="25"/>
      <c r="N53" s="4"/>
      <c r="O53" s="4"/>
      <c r="P53" s="4"/>
    </row>
    <row r="54" spans="1:16" x14ac:dyDescent="0.2">
      <c r="A54" s="4"/>
      <c r="B54" s="4"/>
      <c r="C54" s="25"/>
      <c r="D54" s="25"/>
      <c r="E54" s="25"/>
      <c r="F54" s="25"/>
      <c r="G54" s="25"/>
      <c r="H54" s="25"/>
      <c r="I54" s="25"/>
      <c r="J54" s="25"/>
      <c r="K54" s="4"/>
      <c r="L54" s="25"/>
      <c r="M54" s="25"/>
      <c r="N54" s="4"/>
      <c r="O54" s="4"/>
      <c r="P54" s="4"/>
    </row>
    <row r="55" spans="1:16" x14ac:dyDescent="0.2">
      <c r="A55" s="4"/>
      <c r="B55" s="4"/>
      <c r="C55" s="25"/>
      <c r="D55" s="25"/>
      <c r="E55" s="25"/>
      <c r="F55" s="25"/>
      <c r="G55" s="25"/>
      <c r="H55" s="25"/>
      <c r="I55" s="25"/>
      <c r="J55" s="25"/>
      <c r="K55" s="4"/>
      <c r="L55" s="25"/>
      <c r="M55" s="25"/>
      <c r="N55" s="4"/>
      <c r="O55" s="4"/>
      <c r="P55" s="4"/>
    </row>
    <row r="56" spans="1:16" x14ac:dyDescent="0.2">
      <c r="A56" s="4"/>
      <c r="B56" s="4"/>
      <c r="C56" s="25"/>
      <c r="D56" s="25"/>
      <c r="E56" s="25"/>
      <c r="F56" s="25"/>
      <c r="G56" s="25"/>
      <c r="H56" s="25"/>
      <c r="I56" s="25"/>
      <c r="J56" s="25"/>
      <c r="K56" s="4"/>
      <c r="L56" s="25"/>
      <c r="M56" s="25"/>
      <c r="N56" s="4"/>
      <c r="O56" s="4"/>
      <c r="P56" s="4"/>
    </row>
    <row r="57" spans="1:16" x14ac:dyDescent="0.2">
      <c r="A57" s="4"/>
      <c r="B57" s="4"/>
      <c r="C57" s="25"/>
      <c r="D57" s="25"/>
      <c r="E57" s="25"/>
      <c r="F57" s="25"/>
      <c r="G57" s="25"/>
      <c r="H57" s="25"/>
      <c r="I57" s="25"/>
      <c r="J57" s="25"/>
      <c r="K57" s="4"/>
      <c r="L57" s="25"/>
      <c r="M57" s="25"/>
      <c r="N57" s="4"/>
      <c r="O57" s="4"/>
      <c r="P57" s="4"/>
    </row>
    <row r="58" spans="1:16" x14ac:dyDescent="0.2">
      <c r="A58" s="4"/>
      <c r="B58" s="4"/>
      <c r="C58" s="25"/>
      <c r="D58" s="25"/>
      <c r="E58" s="25"/>
      <c r="F58" s="25"/>
      <c r="G58" s="25"/>
      <c r="H58" s="25"/>
      <c r="I58" s="25"/>
      <c r="J58" s="25"/>
      <c r="K58" s="4"/>
      <c r="L58" s="25"/>
      <c r="M58" s="25"/>
      <c r="N58" s="4"/>
      <c r="O58" s="4"/>
      <c r="P58" s="4"/>
    </row>
    <row r="59" spans="1:16" x14ac:dyDescent="0.2">
      <c r="A59" s="4"/>
      <c r="B59" s="4"/>
      <c r="C59" s="25"/>
      <c r="D59" s="25"/>
      <c r="E59" s="25"/>
      <c r="F59" s="25"/>
      <c r="G59" s="25"/>
      <c r="H59" s="25"/>
      <c r="I59" s="25"/>
      <c r="J59" s="25"/>
      <c r="K59" s="4"/>
      <c r="L59" s="25"/>
      <c r="M59" s="25"/>
      <c r="N59" s="4"/>
      <c r="O59" s="4"/>
      <c r="P59" s="4"/>
    </row>
    <row r="60" spans="1:16" x14ac:dyDescent="0.2">
      <c r="A60" s="4"/>
      <c r="B60" s="4"/>
      <c r="C60" s="25"/>
      <c r="D60" s="25"/>
      <c r="E60" s="25"/>
      <c r="F60" s="25"/>
      <c r="G60" s="25"/>
      <c r="H60" s="25"/>
      <c r="I60" s="25"/>
      <c r="J60" s="25"/>
      <c r="K60" s="4"/>
      <c r="L60" s="25"/>
      <c r="M60" s="25"/>
      <c r="N60" s="4"/>
      <c r="O60" s="4"/>
      <c r="P60" s="4"/>
    </row>
    <row r="61" spans="1:16" x14ac:dyDescent="0.2">
      <c r="A61" s="4"/>
      <c r="B61" s="4"/>
      <c r="C61" s="25"/>
      <c r="D61" s="25"/>
      <c r="E61" s="25"/>
      <c r="F61" s="25"/>
      <c r="G61" s="25"/>
      <c r="H61" s="25"/>
      <c r="I61" s="25"/>
      <c r="J61" s="25"/>
      <c r="K61" s="4"/>
      <c r="L61" s="25"/>
      <c r="M61" s="25"/>
      <c r="N61" s="4"/>
      <c r="O61" s="4"/>
      <c r="P61" s="4"/>
    </row>
    <row r="62" spans="1:16" x14ac:dyDescent="0.2">
      <c r="A62" s="4"/>
      <c r="B62" s="4"/>
      <c r="C62" s="25"/>
      <c r="D62" s="25"/>
      <c r="E62" s="25"/>
      <c r="F62" s="25"/>
      <c r="G62" s="25"/>
      <c r="H62" s="25"/>
      <c r="I62" s="25"/>
      <c r="J62" s="25"/>
      <c r="K62" s="4"/>
      <c r="L62" s="25"/>
      <c r="M62" s="25"/>
      <c r="N62" s="4"/>
      <c r="O62" s="4"/>
      <c r="P62" s="4"/>
    </row>
    <row r="63" spans="1:16" x14ac:dyDescent="0.2">
      <c r="A63" s="4"/>
      <c r="B63" s="4"/>
      <c r="C63" s="25"/>
      <c r="D63" s="25"/>
      <c r="E63" s="25"/>
      <c r="F63" s="25"/>
      <c r="G63" s="25"/>
      <c r="H63" s="25"/>
      <c r="I63" s="25"/>
      <c r="J63" s="25"/>
      <c r="K63" s="4"/>
      <c r="L63" s="25"/>
      <c r="M63" s="25"/>
      <c r="N63" s="4"/>
      <c r="O63" s="4"/>
      <c r="P63" s="4"/>
    </row>
    <row r="64" spans="1:16" x14ac:dyDescent="0.2">
      <c r="A64" s="4"/>
      <c r="B64" s="4"/>
      <c r="C64" s="25"/>
      <c r="D64" s="25"/>
      <c r="E64" s="25"/>
      <c r="F64" s="25"/>
      <c r="G64" s="25"/>
      <c r="H64" s="25"/>
      <c r="I64" s="25"/>
      <c r="J64" s="25"/>
      <c r="K64" s="4"/>
      <c r="L64" s="25"/>
      <c r="M64" s="25"/>
      <c r="N64" s="4"/>
      <c r="O64" s="4"/>
      <c r="P64" s="4"/>
    </row>
    <row r="65" spans="1:16" x14ac:dyDescent="0.2">
      <c r="A65" s="4"/>
      <c r="B65" s="4"/>
      <c r="C65" s="25"/>
      <c r="D65" s="25"/>
      <c r="E65" s="25"/>
      <c r="F65" s="25"/>
      <c r="G65" s="25"/>
      <c r="H65" s="25"/>
      <c r="I65" s="25"/>
      <c r="J65" s="25"/>
      <c r="K65" s="4"/>
      <c r="L65" s="25"/>
      <c r="M65" s="25"/>
      <c r="N65" s="4"/>
      <c r="O65" s="4"/>
      <c r="P65" s="4"/>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C117" s="121"/>
    </row>
    <row r="118" spans="1:16" x14ac:dyDescent="0.2">
      <c r="C118" s="121"/>
    </row>
    <row r="119" spans="1:16" x14ac:dyDescent="0.2">
      <c r="C119" s="121"/>
    </row>
    <row r="120" spans="1:16" x14ac:dyDescent="0.2">
      <c r="C120" s="121"/>
    </row>
    <row r="121" spans="1:16" x14ac:dyDescent="0.2">
      <c r="C121" s="121"/>
    </row>
    <row r="122" spans="1:16" x14ac:dyDescent="0.2">
      <c r="C122" s="121"/>
    </row>
    <row r="123" spans="1:16" x14ac:dyDescent="0.2">
      <c r="C123" s="121"/>
    </row>
    <row r="124" spans="1:16" x14ac:dyDescent="0.2">
      <c r="C124" s="121"/>
    </row>
    <row r="125" spans="1:16" x14ac:dyDescent="0.2">
      <c r="C125" s="121"/>
    </row>
    <row r="126" spans="1:16" x14ac:dyDescent="0.2">
      <c r="C126" s="121"/>
    </row>
    <row r="127" spans="1:16" x14ac:dyDescent="0.2">
      <c r="C127" s="121"/>
    </row>
    <row r="128" spans="1:16"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horizontalDpi="300" verticalDpi="300" r:id="rId1"/>
  <headerFooter alignWithMargins="0">
    <oddFooter>&amp;L&amp;D     &amp;T&amp;C&amp;F&amp;R&amp;A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85" workbookViewId="0">
      <pane ySplit="7" topLeftCell="A8" activePane="bottomLeft" state="frozen"/>
      <selection activeCell="K15" sqref="K15"/>
      <selection pane="bottomLeft" activeCell="K15" sqref="K15"/>
    </sheetView>
  </sheetViews>
  <sheetFormatPr defaultRowHeight="12.75" x14ac:dyDescent="0.2"/>
  <cols>
    <col min="2" max="2" width="35.83203125" customWidth="1"/>
    <col min="3" max="3" width="14.33203125" style="1" hidden="1" customWidth="1"/>
    <col min="4" max="7" width="14.33203125" style="121" hidden="1" customWidth="1"/>
    <col min="8" max="8" width="14.33203125" style="121" customWidth="1"/>
    <col min="9" max="10" width="14.33203125" style="87" customWidth="1"/>
    <col min="11" max="16" width="14.33203125" customWidth="1"/>
    <col min="17" max="17" width="14.6640625" customWidth="1"/>
  </cols>
  <sheetData>
    <row r="1" spans="1:16" x14ac:dyDescent="0.2">
      <c r="A1" s="410" t="s">
        <v>1013</v>
      </c>
      <c r="B1" s="410" t="s">
        <v>1418</v>
      </c>
      <c r="C1" s="25"/>
      <c r="D1" s="25"/>
      <c r="E1" s="25"/>
      <c r="F1" s="25"/>
      <c r="G1" s="25"/>
      <c r="H1" s="25"/>
      <c r="I1" s="25"/>
      <c r="J1" s="25"/>
      <c r="K1" s="4"/>
      <c r="L1" s="25"/>
      <c r="M1" s="4"/>
      <c r="O1" s="4"/>
      <c r="P1" s="4"/>
    </row>
    <row r="2" spans="1:16" ht="15" x14ac:dyDescent="0.25">
      <c r="A2" s="49" t="s">
        <v>256</v>
      </c>
      <c r="B2" s="49"/>
      <c r="C2" s="25"/>
      <c r="E2" s="153"/>
      <c r="H2" s="153" t="s">
        <v>252</v>
      </c>
      <c r="I2" s="153"/>
      <c r="J2" s="153"/>
      <c r="K2" s="67" t="s">
        <v>1</v>
      </c>
      <c r="L2" s="25"/>
      <c r="M2" s="50" t="s">
        <v>2</v>
      </c>
      <c r="P2" s="4"/>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119" t="s">
        <v>122</v>
      </c>
      <c r="G4" s="279" t="s">
        <v>122</v>
      </c>
      <c r="H4" s="119" t="s">
        <v>122</v>
      </c>
      <c r="I4" s="317" t="s">
        <v>122</v>
      </c>
      <c r="J4" s="317" t="s">
        <v>542</v>
      </c>
      <c r="K4" s="119" t="s">
        <v>489</v>
      </c>
      <c r="L4" s="91" t="s">
        <v>900</v>
      </c>
      <c r="M4" s="7" t="s">
        <v>900</v>
      </c>
    </row>
    <row r="5" spans="1:16" x14ac:dyDescent="0.2">
      <c r="A5" s="93"/>
      <c r="B5" s="216"/>
      <c r="C5" s="137"/>
      <c r="D5" s="94"/>
      <c r="E5" s="120"/>
      <c r="F5" s="120"/>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10"/>
      <c r="B8" s="192"/>
      <c r="C8" s="139"/>
      <c r="D8" s="345"/>
      <c r="E8" s="345"/>
      <c r="F8" s="345"/>
      <c r="G8" s="345"/>
      <c r="H8" s="345"/>
      <c r="I8" s="345"/>
      <c r="J8" s="177"/>
      <c r="K8" s="68"/>
      <c r="L8" s="11"/>
      <c r="M8" s="11"/>
    </row>
    <row r="9" spans="1:16" ht="13.5" thickBot="1" x14ac:dyDescent="0.25">
      <c r="A9" s="12">
        <v>5115</v>
      </c>
      <c r="B9" s="69" t="s">
        <v>124</v>
      </c>
      <c r="C9" s="141">
        <v>1263.08</v>
      </c>
      <c r="D9" s="16">
        <v>1303.56</v>
      </c>
      <c r="E9" s="16">
        <v>1296.44</v>
      </c>
      <c r="F9" s="16">
        <v>1300</v>
      </c>
      <c r="G9" s="16">
        <v>1500</v>
      </c>
      <c r="H9" s="16">
        <v>1500</v>
      </c>
      <c r="I9" s="349">
        <v>1500</v>
      </c>
      <c r="J9" s="133">
        <v>1575</v>
      </c>
      <c r="K9" s="16">
        <v>748.2</v>
      </c>
      <c r="L9" s="133">
        <v>1575</v>
      </c>
      <c r="M9" s="133"/>
    </row>
    <row r="10" spans="1:16" x14ac:dyDescent="0.2">
      <c r="A10" s="12"/>
      <c r="B10" s="70" t="s">
        <v>125</v>
      </c>
      <c r="C10" s="142">
        <f t="shared" ref="C10:L10" si="0">SUM(C9:C9)</f>
        <v>1263.08</v>
      </c>
      <c r="D10" s="19">
        <f t="shared" si="0"/>
        <v>1303.56</v>
      </c>
      <c r="E10" s="19">
        <f t="shared" si="0"/>
        <v>1296.44</v>
      </c>
      <c r="F10" s="19">
        <f>SUM(F9)</f>
        <v>1300</v>
      </c>
      <c r="G10" s="19">
        <f>SUM(G9)</f>
        <v>1500</v>
      </c>
      <c r="H10" s="19">
        <f>SUM(H9)</f>
        <v>1500</v>
      </c>
      <c r="I10" s="19">
        <f>SUM(I9:I9)</f>
        <v>1500</v>
      </c>
      <c r="J10" s="20">
        <f t="shared" ref="J10" si="1">SUM(J9:J9)</f>
        <v>1575</v>
      </c>
      <c r="K10" s="19">
        <f t="shared" si="0"/>
        <v>748.2</v>
      </c>
      <c r="L10" s="20">
        <f t="shared" si="0"/>
        <v>1575</v>
      </c>
      <c r="M10" s="20">
        <f>SUM(M9:M9)</f>
        <v>0</v>
      </c>
    </row>
    <row r="11" spans="1:16" x14ac:dyDescent="0.2">
      <c r="A11" s="12"/>
      <c r="B11" s="69"/>
      <c r="C11" s="140"/>
      <c r="D11" s="14"/>
      <c r="E11" s="14"/>
      <c r="F11" s="14"/>
      <c r="G11" s="14"/>
      <c r="H11" s="14"/>
      <c r="I11" s="14"/>
      <c r="J11" s="15"/>
      <c r="K11" s="14"/>
      <c r="L11" s="15"/>
      <c r="M11" s="15"/>
    </row>
    <row r="12" spans="1:16" x14ac:dyDescent="0.2">
      <c r="A12" s="12">
        <v>5253</v>
      </c>
      <c r="B12" s="69" t="s">
        <v>963</v>
      </c>
      <c r="C12" s="127">
        <f>10479.01-C15</f>
        <v>9389.7999999999993</v>
      </c>
      <c r="D12" s="109">
        <f>10511.14-D15</f>
        <v>10355.199999999999</v>
      </c>
      <c r="E12" s="109">
        <f>11580-E15</f>
        <v>10890</v>
      </c>
      <c r="F12" s="109">
        <v>7472.5</v>
      </c>
      <c r="G12" s="109">
        <v>10320</v>
      </c>
      <c r="H12" s="109">
        <v>14165.8</v>
      </c>
      <c r="I12" s="109">
        <v>14750</v>
      </c>
      <c r="J12" s="36">
        <v>15000</v>
      </c>
      <c r="K12" s="19">
        <v>7100</v>
      </c>
      <c r="L12" s="36">
        <v>17000</v>
      </c>
      <c r="M12" s="15"/>
    </row>
    <row r="13" spans="1:16" x14ac:dyDescent="0.2">
      <c r="A13" s="12">
        <v>5344</v>
      </c>
      <c r="B13" s="69" t="s">
        <v>137</v>
      </c>
      <c r="C13" s="263"/>
      <c r="D13" s="39">
        <v>0</v>
      </c>
      <c r="E13" s="39"/>
      <c r="F13" s="39"/>
      <c r="G13" s="39"/>
      <c r="H13" s="39"/>
      <c r="I13" s="39">
        <v>0</v>
      </c>
      <c r="J13" s="40">
        <v>100</v>
      </c>
      <c r="K13" s="19"/>
      <c r="L13" s="40">
        <v>100</v>
      </c>
      <c r="M13" s="40"/>
    </row>
    <row r="14" spans="1:16" x14ac:dyDescent="0.2">
      <c r="A14" s="12">
        <v>5345</v>
      </c>
      <c r="B14" s="69" t="s">
        <v>138</v>
      </c>
      <c r="C14" s="140"/>
      <c r="D14" s="14">
        <v>0</v>
      </c>
      <c r="E14" s="14"/>
      <c r="F14" s="14">
        <v>119.13</v>
      </c>
      <c r="G14" s="14"/>
      <c r="H14" s="14"/>
      <c r="I14" s="14">
        <v>292.5</v>
      </c>
      <c r="J14" s="15">
        <v>500</v>
      </c>
      <c r="K14" s="14"/>
      <c r="L14" s="15">
        <v>500</v>
      </c>
      <c r="M14" s="15"/>
    </row>
    <row r="15" spans="1:16" x14ac:dyDescent="0.2">
      <c r="A15" s="30">
        <v>5588</v>
      </c>
      <c r="B15" s="117" t="s">
        <v>964</v>
      </c>
      <c r="C15" s="140">
        <f>105+14.24+679.98+289.99</f>
        <v>1089.21</v>
      </c>
      <c r="D15" s="14">
        <v>155.94</v>
      </c>
      <c r="E15" s="14">
        <f>240+450</f>
        <v>690</v>
      </c>
      <c r="F15" s="14">
        <v>3849.86</v>
      </c>
      <c r="G15" s="14">
        <v>1811</v>
      </c>
      <c r="H15" s="14">
        <v>930</v>
      </c>
      <c r="I15" s="14">
        <v>418</v>
      </c>
      <c r="J15" s="15">
        <v>1000</v>
      </c>
      <c r="K15" s="14">
        <v>250</v>
      </c>
      <c r="L15" s="15">
        <v>1000</v>
      </c>
      <c r="M15" s="15"/>
    </row>
    <row r="16" spans="1:16" ht="13.5" thickBot="1" x14ac:dyDescent="0.25">
      <c r="A16" s="30">
        <v>5730</v>
      </c>
      <c r="B16" s="117" t="s">
        <v>129</v>
      </c>
      <c r="C16" s="820">
        <v>75</v>
      </c>
      <c r="D16" s="41">
        <v>75</v>
      </c>
      <c r="E16" s="41">
        <v>75</v>
      </c>
      <c r="F16" s="41">
        <v>85</v>
      </c>
      <c r="G16" s="41">
        <v>85</v>
      </c>
      <c r="H16" s="41">
        <v>85</v>
      </c>
      <c r="I16" s="41">
        <v>85</v>
      </c>
      <c r="J16" s="42">
        <v>110</v>
      </c>
      <c r="K16" s="41"/>
      <c r="L16" s="42">
        <v>110</v>
      </c>
      <c r="M16" s="42"/>
    </row>
    <row r="17" spans="1:13" x14ac:dyDescent="0.2">
      <c r="A17" s="12"/>
      <c r="B17" s="70" t="s">
        <v>442</v>
      </c>
      <c r="C17" s="142">
        <f t="shared" ref="C17:K17" si="2">SUM(C12:C16)</f>
        <v>10554.009999999998</v>
      </c>
      <c r="D17" s="19">
        <f t="shared" si="2"/>
        <v>10586.14</v>
      </c>
      <c r="E17" s="19">
        <f t="shared" si="2"/>
        <v>11655</v>
      </c>
      <c r="F17" s="19">
        <f>SUM(F12:F16)</f>
        <v>11526.49</v>
      </c>
      <c r="G17" s="19">
        <f>SUM(G12:G16)</f>
        <v>12216</v>
      </c>
      <c r="H17" s="19">
        <f>SUM(H12:H16)</f>
        <v>15180.8</v>
      </c>
      <c r="I17" s="19">
        <f t="shared" si="2"/>
        <v>15545.5</v>
      </c>
      <c r="J17" s="20">
        <f>SUM(J12:J16)</f>
        <v>16710</v>
      </c>
      <c r="K17" s="19">
        <f t="shared" si="2"/>
        <v>7350</v>
      </c>
      <c r="L17" s="20">
        <f>SUM(L12:L16)</f>
        <v>18710</v>
      </c>
      <c r="M17" s="20">
        <f>SUM(M12:M16)</f>
        <v>0</v>
      </c>
    </row>
    <row r="18" spans="1:13" x14ac:dyDescent="0.2">
      <c r="A18" s="12"/>
      <c r="B18" s="69"/>
      <c r="C18" s="140"/>
      <c r="D18" s="14"/>
      <c r="E18" s="14"/>
      <c r="F18" s="14"/>
      <c r="G18" s="14"/>
      <c r="H18" s="14"/>
      <c r="I18" s="14"/>
      <c r="J18" s="15"/>
      <c r="K18" s="14"/>
      <c r="L18" s="15"/>
      <c r="M18" s="15"/>
    </row>
    <row r="19" spans="1:13" ht="13.5" thickBot="1" x14ac:dyDescent="0.25">
      <c r="A19" s="21"/>
      <c r="B19" s="22" t="s">
        <v>3</v>
      </c>
      <c r="C19" s="23">
        <f t="shared" ref="C19:K19" si="3">+C17+C10</f>
        <v>11817.089999999998</v>
      </c>
      <c r="D19" s="23">
        <f t="shared" si="3"/>
        <v>11889.699999999999</v>
      </c>
      <c r="E19" s="23">
        <f>+E17+E10</f>
        <v>12951.44</v>
      </c>
      <c r="F19" s="23">
        <f>+F17+F10</f>
        <v>12826.49</v>
      </c>
      <c r="G19" s="23">
        <f>+G17+G10</f>
        <v>13716</v>
      </c>
      <c r="H19" s="23">
        <f>+H17+H10</f>
        <v>16680.8</v>
      </c>
      <c r="I19" s="23">
        <f t="shared" si="3"/>
        <v>17045.5</v>
      </c>
      <c r="J19" s="24">
        <f>+J17+J10</f>
        <v>18285</v>
      </c>
      <c r="K19" s="23">
        <f t="shared" si="3"/>
        <v>8098.2</v>
      </c>
      <c r="L19" s="24">
        <f>+L17+L10</f>
        <v>20285</v>
      </c>
      <c r="M19" s="24">
        <f>+L19</f>
        <v>20285</v>
      </c>
    </row>
    <row r="20" spans="1:13" ht="13.5" thickTop="1" x14ac:dyDescent="0.2">
      <c r="M20" s="25"/>
    </row>
    <row r="21" spans="1:13" ht="13.5" thickBot="1" x14ac:dyDescent="0.25">
      <c r="A21" s="366"/>
      <c r="B21" s="254"/>
      <c r="M21" s="29"/>
    </row>
    <row r="22" spans="1:13" ht="13.5" thickTop="1" x14ac:dyDescent="0.2">
      <c r="A22" s="517"/>
      <c r="B22" s="518"/>
      <c r="C22" s="519" t="s">
        <v>122</v>
      </c>
      <c r="D22" s="520" t="s">
        <v>122</v>
      </c>
      <c r="E22" s="520" t="s">
        <v>122</v>
      </c>
      <c r="H22" s="521" t="s">
        <v>542</v>
      </c>
      <c r="I22" s="522" t="s">
        <v>9</v>
      </c>
      <c r="J22" s="523" t="s">
        <v>1073</v>
      </c>
      <c r="K22" s="522" t="s">
        <v>682</v>
      </c>
      <c r="L22" s="524"/>
      <c r="M22" s="523"/>
    </row>
    <row r="23" spans="1:13" ht="13.5" thickBot="1" x14ac:dyDescent="0.25">
      <c r="A23" s="525" t="s">
        <v>123</v>
      </c>
      <c r="B23" s="526"/>
      <c r="C23" s="527" t="s">
        <v>334</v>
      </c>
      <c r="D23" s="527" t="s">
        <v>718</v>
      </c>
      <c r="E23" s="528" t="s">
        <v>734</v>
      </c>
      <c r="H23" s="529" t="s">
        <v>899</v>
      </c>
      <c r="I23" s="529" t="s">
        <v>900</v>
      </c>
      <c r="J23" s="528" t="s">
        <v>1075</v>
      </c>
      <c r="K23" s="530" t="s">
        <v>1075</v>
      </c>
      <c r="L23" s="531" t="s">
        <v>1074</v>
      </c>
      <c r="M23" s="529"/>
    </row>
    <row r="24" spans="1:13" ht="13.5" thickTop="1" x14ac:dyDescent="0.2">
      <c r="A24" s="557"/>
      <c r="B24" s="558"/>
      <c r="C24" s="559"/>
      <c r="D24" s="560"/>
      <c r="E24" s="560"/>
      <c r="H24" s="561"/>
      <c r="I24" s="560"/>
      <c r="J24" s="561"/>
      <c r="K24" s="559"/>
      <c r="L24" s="538"/>
      <c r="M24" s="539"/>
    </row>
    <row r="25" spans="1:13" ht="13.5" thickBot="1" x14ac:dyDescent="0.25">
      <c r="A25" s="551">
        <v>5115</v>
      </c>
      <c r="B25" s="540" t="s">
        <v>124</v>
      </c>
      <c r="C25" s="542">
        <v>1263.08</v>
      </c>
      <c r="D25" s="542">
        <v>1303.56</v>
      </c>
      <c r="E25" s="542">
        <v>1296.44</v>
      </c>
      <c r="H25" s="543">
        <f>+J9</f>
        <v>1575</v>
      </c>
      <c r="I25" s="569">
        <f>+L9</f>
        <v>1575</v>
      </c>
      <c r="J25" s="539">
        <f t="shared" ref="J25:J30" si="4">+I25-H25</f>
        <v>0</v>
      </c>
      <c r="K25" s="545" t="str">
        <f t="shared" ref="K25:K30" si="5">IF(H25+I25&lt;&gt;0,IF(H25&lt;&gt;0,IF(J25&lt;&gt;0,ROUND((+J25/H25),4),""),1),"")</f>
        <v/>
      </c>
      <c r="L25" s="538"/>
      <c r="M25" s="539"/>
    </row>
    <row r="26" spans="1:13" x14ac:dyDescent="0.2">
      <c r="A26" s="551">
        <v>5253</v>
      </c>
      <c r="B26" s="540" t="s">
        <v>963</v>
      </c>
      <c r="C26" s="554">
        <f>10479.01-C29</f>
        <v>9389.7999999999993</v>
      </c>
      <c r="D26" s="554">
        <f>10511.14-D29</f>
        <v>10355.199999999999</v>
      </c>
      <c r="E26" s="554">
        <f>11580-E29</f>
        <v>10890</v>
      </c>
      <c r="H26" s="538">
        <f>+J12</f>
        <v>15000</v>
      </c>
      <c r="I26" s="569">
        <f>+L12</f>
        <v>17000</v>
      </c>
      <c r="J26" s="539">
        <f t="shared" si="4"/>
        <v>2000</v>
      </c>
      <c r="K26" s="545">
        <f t="shared" si="5"/>
        <v>0.1333</v>
      </c>
      <c r="L26" s="538" t="s">
        <v>1558</v>
      </c>
      <c r="M26" s="539"/>
    </row>
    <row r="27" spans="1:13" x14ac:dyDescent="0.2">
      <c r="A27" s="551">
        <v>5344</v>
      </c>
      <c r="B27" s="540" t="s">
        <v>137</v>
      </c>
      <c r="C27" s="546"/>
      <c r="D27" s="546">
        <v>0</v>
      </c>
      <c r="E27" s="546"/>
      <c r="H27" s="538">
        <f t="shared" ref="H27:H30" si="6">+J13</f>
        <v>100</v>
      </c>
      <c r="I27" s="569">
        <f>+L13</f>
        <v>100</v>
      </c>
      <c r="J27" s="539">
        <f t="shared" si="4"/>
        <v>0</v>
      </c>
      <c r="K27" s="545" t="str">
        <f t="shared" si="5"/>
        <v/>
      </c>
      <c r="L27" s="538" t="s">
        <v>1559</v>
      </c>
      <c r="M27" s="539"/>
    </row>
    <row r="28" spans="1:13" x14ac:dyDescent="0.2">
      <c r="A28" s="551">
        <v>5345</v>
      </c>
      <c r="B28" s="540" t="s">
        <v>138</v>
      </c>
      <c r="C28" s="544"/>
      <c r="D28" s="544">
        <v>0</v>
      </c>
      <c r="E28" s="544"/>
      <c r="H28" s="538">
        <f t="shared" si="6"/>
        <v>500</v>
      </c>
      <c r="I28" s="569">
        <f>+L14</f>
        <v>500</v>
      </c>
      <c r="J28" s="539">
        <f t="shared" si="4"/>
        <v>0</v>
      </c>
      <c r="K28" s="545" t="str">
        <f t="shared" si="5"/>
        <v/>
      </c>
      <c r="L28" s="538"/>
      <c r="M28" s="539"/>
    </row>
    <row r="29" spans="1:13" x14ac:dyDescent="0.2">
      <c r="A29" s="548">
        <v>5588</v>
      </c>
      <c r="B29" s="549" t="s">
        <v>964</v>
      </c>
      <c r="C29" s="544">
        <f>105+14.24+679.98+289.99</f>
        <v>1089.21</v>
      </c>
      <c r="D29" s="544">
        <v>155.94</v>
      </c>
      <c r="E29" s="544">
        <f>240+450</f>
        <v>690</v>
      </c>
      <c r="H29" s="538">
        <f t="shared" si="6"/>
        <v>1000</v>
      </c>
      <c r="I29" s="569">
        <f>+L15</f>
        <v>1000</v>
      </c>
      <c r="J29" s="539">
        <f t="shared" si="4"/>
        <v>0</v>
      </c>
      <c r="K29" s="545" t="str">
        <f t="shared" si="5"/>
        <v/>
      </c>
      <c r="L29" s="538"/>
      <c r="M29" s="539"/>
    </row>
    <row r="30" spans="1:13" ht="13.5" thickBot="1" x14ac:dyDescent="0.25">
      <c r="A30" s="548">
        <v>5730</v>
      </c>
      <c r="B30" s="549" t="s">
        <v>129</v>
      </c>
      <c r="C30" s="567">
        <v>75</v>
      </c>
      <c r="D30" s="567">
        <v>75</v>
      </c>
      <c r="E30" s="567">
        <v>75</v>
      </c>
      <c r="H30" s="538">
        <f t="shared" si="6"/>
        <v>110</v>
      </c>
      <c r="I30" s="569">
        <f>+L16</f>
        <v>110</v>
      </c>
      <c r="J30" s="539">
        <f t="shared" si="4"/>
        <v>0</v>
      </c>
      <c r="K30" s="545" t="str">
        <f t="shared" si="5"/>
        <v/>
      </c>
      <c r="L30" s="538"/>
      <c r="M30" s="539"/>
    </row>
    <row r="32" spans="1:13" x14ac:dyDescent="0.2">
      <c r="B32" s="4" t="s">
        <v>1600</v>
      </c>
      <c r="C32" s="25"/>
      <c r="D32" s="25"/>
      <c r="E32" s="25"/>
      <c r="F32" s="25"/>
      <c r="G32" s="25"/>
      <c r="H32" s="849">
        <f>SUM(H21:H31)</f>
        <v>18285</v>
      </c>
      <c r="I32" s="849">
        <f>SUM(I21:I31)</f>
        <v>20285</v>
      </c>
      <c r="J32" s="208">
        <f t="shared" ref="J32" si="7">+I32-H32</f>
        <v>2000</v>
      </c>
      <c r="K32" s="850">
        <f t="shared" ref="K32" si="8">IF(H32+I32&lt;&gt;0,IF(H32&lt;&gt;0,IF(J32&lt;&gt;0,ROUND((+J32/H32),4),""),1),"")</f>
        <v>0.1094</v>
      </c>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r:id="rId1"/>
  <headerFooter alignWithMargins="0">
    <oddFooter>&amp;L&amp;D  &amp;T&amp;C&amp;F&amp;R&amp;A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58"/>
  <sheetViews>
    <sheetView zoomScale="85" workbookViewId="0">
      <pane ySplit="7" topLeftCell="A8" activePane="bottomLeft" state="frozen"/>
      <selection activeCell="K15" sqref="K15"/>
      <selection pane="bottomLeft" activeCell="A25" sqref="A25:L31"/>
    </sheetView>
  </sheetViews>
  <sheetFormatPr defaultRowHeight="12.75" x14ac:dyDescent="0.2"/>
  <cols>
    <col min="1" max="1" width="10.83203125" bestFit="1" customWidth="1"/>
    <col min="2" max="2" width="36.6640625" customWidth="1"/>
    <col min="3" max="3" width="17.83203125" style="1" hidden="1" customWidth="1"/>
    <col min="4" max="7" width="16.5" style="121" hidden="1" customWidth="1"/>
    <col min="8" max="10" width="16.5" style="121" customWidth="1"/>
    <col min="11" max="11" width="17" customWidth="1"/>
    <col min="12" max="13" width="15.83203125" style="1" customWidth="1"/>
    <col min="14" max="14" width="16.33203125" customWidth="1"/>
    <col min="15" max="15" width="16.83203125" customWidth="1"/>
    <col min="16" max="16" width="17.83203125" customWidth="1"/>
    <col min="17" max="17" width="14.6640625" style="2" customWidth="1"/>
    <col min="18" max="18" width="15.33203125" bestFit="1" customWidth="1"/>
  </cols>
  <sheetData>
    <row r="1" spans="1:16" x14ac:dyDescent="0.2">
      <c r="A1" s="410" t="s">
        <v>1013</v>
      </c>
      <c r="B1" s="410" t="s">
        <v>1418</v>
      </c>
      <c r="M1"/>
    </row>
    <row r="2" spans="1:16" ht="15" x14ac:dyDescent="0.25">
      <c r="A2" s="49" t="s">
        <v>253</v>
      </c>
      <c r="B2" s="49"/>
      <c r="E2" s="153"/>
      <c r="H2" s="153" t="s">
        <v>252</v>
      </c>
      <c r="I2" s="153"/>
      <c r="J2" s="153"/>
      <c r="K2" s="67" t="s">
        <v>328</v>
      </c>
      <c r="M2" s="50" t="s">
        <v>485</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20"/>
      <c r="J8" s="20"/>
      <c r="K8" s="19"/>
      <c r="L8" s="20"/>
      <c r="M8" s="20"/>
    </row>
    <row r="9" spans="1:16" x14ac:dyDescent="0.2">
      <c r="A9" s="30">
        <v>5321</v>
      </c>
      <c r="B9" s="69" t="s">
        <v>181</v>
      </c>
      <c r="C9" s="140">
        <v>737865</v>
      </c>
      <c r="D9" s="156">
        <v>731659</v>
      </c>
      <c r="E9" s="156">
        <v>682601</v>
      </c>
      <c r="F9" s="156">
        <v>760615</v>
      </c>
      <c r="G9" s="156">
        <v>659356</v>
      </c>
      <c r="H9" s="156">
        <v>747340</v>
      </c>
      <c r="I9" s="156">
        <v>974337.89</v>
      </c>
      <c r="J9" s="132">
        <f>29829+1055178</f>
        <v>1085007</v>
      </c>
      <c r="K9" s="14">
        <v>557416.13</v>
      </c>
      <c r="L9" s="132">
        <f>1230125+25331</f>
        <v>1255456</v>
      </c>
      <c r="M9" s="83"/>
    </row>
    <row r="10" spans="1:16" ht="13.5" hidden="1" thickBot="1" x14ac:dyDescent="0.25">
      <c r="A10" s="12"/>
      <c r="B10" s="117" t="s">
        <v>558</v>
      </c>
      <c r="C10" s="820"/>
      <c r="D10" s="350"/>
      <c r="E10" s="350"/>
      <c r="F10" s="350"/>
      <c r="G10" s="350"/>
      <c r="H10" s="350"/>
      <c r="I10" s="350"/>
      <c r="J10" s="159"/>
      <c r="K10" s="41"/>
      <c r="L10" s="159"/>
      <c r="M10" s="158"/>
    </row>
    <row r="11" spans="1:16" x14ac:dyDescent="0.2">
      <c r="A11" s="12"/>
      <c r="B11" s="70" t="s">
        <v>182</v>
      </c>
      <c r="C11" s="142">
        <f t="shared" ref="C11:L11" si="0">SUM(C9:C10)</f>
        <v>737865</v>
      </c>
      <c r="D11" s="19">
        <f t="shared" si="0"/>
        <v>731659</v>
      </c>
      <c r="E11" s="19">
        <f t="shared" si="0"/>
        <v>682601</v>
      </c>
      <c r="F11" s="19">
        <f>+F9</f>
        <v>760615</v>
      </c>
      <c r="G11" s="19">
        <f>+G9</f>
        <v>659356</v>
      </c>
      <c r="H11" s="19">
        <f>+H9</f>
        <v>747340</v>
      </c>
      <c r="I11" s="19">
        <f t="shared" si="0"/>
        <v>974337.89</v>
      </c>
      <c r="J11" s="262">
        <f t="shared" ref="J11" si="1">SUM(J9:J10)</f>
        <v>1085007</v>
      </c>
      <c r="K11" s="19">
        <f t="shared" si="0"/>
        <v>557416.13</v>
      </c>
      <c r="L11" s="262">
        <f t="shared" si="0"/>
        <v>1255456</v>
      </c>
      <c r="M11" s="262">
        <f>+L11</f>
        <v>1255456</v>
      </c>
    </row>
    <row r="12" spans="1:16" x14ac:dyDescent="0.2">
      <c r="A12" s="12"/>
      <c r="B12" s="69"/>
      <c r="C12" s="140"/>
      <c r="D12" s="14"/>
      <c r="E12" s="14"/>
      <c r="F12" s="14"/>
      <c r="G12" s="14"/>
      <c r="H12" s="14"/>
      <c r="I12" s="14"/>
      <c r="J12" s="132"/>
      <c r="K12" s="14"/>
      <c r="L12" s="132"/>
      <c r="M12" s="15"/>
    </row>
    <row r="13" spans="1:16" ht="13.5" thickBot="1" x14ac:dyDescent="0.25">
      <c r="A13" s="12" t="s">
        <v>183</v>
      </c>
      <c r="B13" s="69" t="s">
        <v>694</v>
      </c>
      <c r="C13" s="141">
        <v>7850604</v>
      </c>
      <c r="D13" s="349">
        <v>7965557</v>
      </c>
      <c r="E13" s="349">
        <v>8293458</v>
      </c>
      <c r="F13" s="349">
        <v>8498343</v>
      </c>
      <c r="G13" s="349">
        <v>8852114</v>
      </c>
      <c r="H13" s="349">
        <v>9356560</v>
      </c>
      <c r="I13" s="16">
        <v>9811160</v>
      </c>
      <c r="J13" s="133">
        <v>10229737</v>
      </c>
      <c r="K13" s="16">
        <v>5114868.5</v>
      </c>
      <c r="L13" s="133">
        <f>ROUND((+'Affordable Assessment'!B22),0)</f>
        <v>10732268</v>
      </c>
      <c r="M13" s="471"/>
    </row>
    <row r="14" spans="1:16" x14ac:dyDescent="0.2">
      <c r="A14" s="12"/>
      <c r="B14" s="70" t="s">
        <v>184</v>
      </c>
      <c r="C14" s="142">
        <f t="shared" ref="C14:L14" si="2">SUM(C13:C13)</f>
        <v>7850604</v>
      </c>
      <c r="D14" s="19">
        <f t="shared" si="2"/>
        <v>7965557</v>
      </c>
      <c r="E14" s="19">
        <f t="shared" si="2"/>
        <v>8293458</v>
      </c>
      <c r="F14" s="19">
        <f>+F13</f>
        <v>8498343</v>
      </c>
      <c r="G14" s="19">
        <f>+G13</f>
        <v>8852114</v>
      </c>
      <c r="H14" s="19">
        <f>+H13</f>
        <v>9356560</v>
      </c>
      <c r="I14" s="19">
        <f t="shared" si="2"/>
        <v>9811160</v>
      </c>
      <c r="J14" s="38">
        <f t="shared" ref="J14" si="3">SUM(J13:J13)</f>
        <v>10229737</v>
      </c>
      <c r="K14" s="19">
        <f t="shared" si="2"/>
        <v>5114868.5</v>
      </c>
      <c r="L14" s="38">
        <f t="shared" si="2"/>
        <v>10732268</v>
      </c>
      <c r="M14" s="38">
        <f>+L14</f>
        <v>10732268</v>
      </c>
    </row>
    <row r="15" spans="1:16" hidden="1" x14ac:dyDescent="0.2">
      <c r="A15" s="12"/>
      <c r="B15" s="69"/>
      <c r="C15" s="140"/>
      <c r="D15" s="14"/>
      <c r="E15" s="14"/>
      <c r="F15" s="14"/>
      <c r="G15" s="14"/>
      <c r="H15" s="14"/>
      <c r="I15" s="14"/>
      <c r="J15" s="15"/>
      <c r="K15" s="14"/>
      <c r="L15" s="15"/>
      <c r="M15" s="15"/>
    </row>
    <row r="16" spans="1:16" hidden="1" x14ac:dyDescent="0.2">
      <c r="A16" s="12">
        <v>5325</v>
      </c>
      <c r="B16" s="69" t="s">
        <v>57</v>
      </c>
      <c r="C16" s="140"/>
      <c r="D16" s="14"/>
      <c r="E16" s="14"/>
      <c r="F16" s="14"/>
      <c r="G16" s="14"/>
      <c r="H16" s="14"/>
      <c r="I16" s="14"/>
      <c r="J16" s="15"/>
      <c r="K16" s="14"/>
      <c r="L16" s="15"/>
      <c r="M16" s="15"/>
    </row>
    <row r="17" spans="1:17" hidden="1" x14ac:dyDescent="0.2">
      <c r="A17" s="12"/>
      <c r="B17" s="69"/>
      <c r="C17" s="140"/>
      <c r="D17" s="14"/>
      <c r="E17" s="14"/>
      <c r="F17" s="14"/>
      <c r="G17" s="14"/>
      <c r="H17" s="14"/>
      <c r="I17" s="14"/>
      <c r="J17" s="15"/>
      <c r="K17" s="14"/>
      <c r="L17" s="15"/>
      <c r="M17" s="15"/>
    </row>
    <row r="18" spans="1:17" x14ac:dyDescent="0.2">
      <c r="A18" s="12"/>
      <c r="B18" s="69"/>
      <c r="C18" s="140"/>
      <c r="D18" s="14"/>
      <c r="E18" s="14"/>
      <c r="F18" s="14"/>
      <c r="G18" s="14"/>
      <c r="H18" s="14"/>
      <c r="I18" s="14"/>
      <c r="J18" s="15"/>
      <c r="K18" s="14"/>
      <c r="L18" s="15"/>
      <c r="M18" s="15"/>
    </row>
    <row r="19" spans="1:17" ht="13.5" thickBot="1" x14ac:dyDescent="0.25">
      <c r="A19" s="21"/>
      <c r="B19" s="22" t="s">
        <v>185</v>
      </c>
      <c r="C19" s="23">
        <f t="shared" ref="C19:L19" si="4">+C14+C11+C16</f>
        <v>8588469</v>
      </c>
      <c r="D19" s="23">
        <f t="shared" si="4"/>
        <v>8697216</v>
      </c>
      <c r="E19" s="23">
        <f>+E14+E11+E16</f>
        <v>8976059</v>
      </c>
      <c r="F19" s="23">
        <f>+F14+F11</f>
        <v>9258958</v>
      </c>
      <c r="G19" s="23">
        <f>+G14+G11</f>
        <v>9511470</v>
      </c>
      <c r="H19" s="23">
        <f>+H14+H11</f>
        <v>10103900</v>
      </c>
      <c r="I19" s="23">
        <f>+I14+I11+I16</f>
        <v>10785497.890000001</v>
      </c>
      <c r="J19" s="24">
        <f t="shared" ref="J19" si="5">+J14+J11+J16</f>
        <v>11314744</v>
      </c>
      <c r="K19" s="23">
        <f t="shared" si="4"/>
        <v>5672284.6299999999</v>
      </c>
      <c r="L19" s="24">
        <f t="shared" si="4"/>
        <v>11987724</v>
      </c>
      <c r="M19" s="24">
        <f>+L19</f>
        <v>11987724</v>
      </c>
    </row>
    <row r="20" spans="1:17" ht="13.5" thickTop="1" x14ac:dyDescent="0.2">
      <c r="A20" s="4"/>
      <c r="B20" s="4"/>
      <c r="C20" s="26"/>
      <c r="D20" s="26"/>
      <c r="E20" s="26"/>
      <c r="F20" s="26"/>
      <c r="G20" s="26"/>
      <c r="H20" s="26"/>
      <c r="I20" s="26"/>
      <c r="J20" s="26"/>
      <c r="K20" s="27"/>
      <c r="L20" s="26"/>
      <c r="M20" s="27"/>
      <c r="O20" s="27"/>
      <c r="P20" s="27"/>
    </row>
    <row r="21" spans="1:17" x14ac:dyDescent="0.2">
      <c r="A21" s="72">
        <v>43630</v>
      </c>
      <c r="B21" s="4" t="s">
        <v>1316</v>
      </c>
      <c r="C21" s="26"/>
      <c r="D21" s="26"/>
      <c r="E21" s="26"/>
      <c r="F21" s="26"/>
      <c r="G21" s="26"/>
      <c r="H21" s="26"/>
      <c r="I21" s="26"/>
      <c r="J21" s="26"/>
      <c r="K21" s="27"/>
      <c r="L21" s="358">
        <f>+L19-J19</f>
        <v>672980</v>
      </c>
      <c r="M21" s="851">
        <f>ROUND((+L21/J19),4)</f>
        <v>5.9499999999999997E-2</v>
      </c>
      <c r="O21" s="27"/>
      <c r="P21" s="27"/>
    </row>
    <row r="22" spans="1:17" x14ac:dyDescent="0.2">
      <c r="A22" s="72"/>
      <c r="B22" s="4" t="s">
        <v>1318</v>
      </c>
      <c r="C22" s="26"/>
      <c r="D22" s="26"/>
      <c r="E22" s="26"/>
      <c r="F22" s="26"/>
      <c r="G22" s="26"/>
      <c r="H22" s="26"/>
      <c r="I22" s="26"/>
      <c r="J22" s="26"/>
      <c r="K22" s="27"/>
      <c r="L22" s="26"/>
      <c r="M22" s="27"/>
      <c r="O22" s="27"/>
      <c r="P22" s="27"/>
    </row>
    <row r="23" spans="1:17" x14ac:dyDescent="0.2">
      <c r="A23" s="72">
        <v>43766</v>
      </c>
      <c r="B23" s="4" t="s">
        <v>1398</v>
      </c>
      <c r="C23" s="26"/>
      <c r="D23" s="26"/>
      <c r="E23" s="26"/>
      <c r="F23" s="26"/>
      <c r="G23" s="26"/>
      <c r="H23" s="26"/>
      <c r="I23" s="26"/>
      <c r="J23" s="26"/>
      <c r="K23" s="27"/>
      <c r="L23" s="26"/>
      <c r="M23" s="27"/>
      <c r="O23" s="27"/>
      <c r="P23" s="27"/>
    </row>
    <row r="24" spans="1:17" x14ac:dyDescent="0.2">
      <c r="A24" s="203"/>
      <c r="B24" s="28"/>
      <c r="C24" s="26"/>
      <c r="D24" s="26"/>
      <c r="E24" s="26"/>
      <c r="F24" s="26"/>
      <c r="G24" s="26"/>
      <c r="H24" s="26"/>
      <c r="I24" s="26"/>
      <c r="J24" s="26"/>
      <c r="K24" s="27"/>
      <c r="L24" s="26"/>
      <c r="M24" s="26"/>
      <c r="N24" s="27"/>
      <c r="O24" s="27"/>
      <c r="P24" s="27"/>
      <c r="Q24" s="59"/>
    </row>
    <row r="25" spans="1:17" s="419" customFormat="1" ht="15.75" x14ac:dyDescent="0.25">
      <c r="A25" s="876" t="s">
        <v>966</v>
      </c>
      <c r="B25" s="858"/>
      <c r="C25" s="877"/>
      <c r="D25" s="877"/>
      <c r="E25" s="877"/>
      <c r="F25" s="877"/>
      <c r="G25" s="877"/>
      <c r="H25" s="877"/>
      <c r="I25" s="877"/>
      <c r="J25" s="877"/>
      <c r="K25" s="858"/>
      <c r="L25" s="877"/>
      <c r="M25" s="420"/>
      <c r="Q25" s="425"/>
    </row>
    <row r="26" spans="1:17" s="419" customFormat="1" ht="15.75" x14ac:dyDescent="0.25">
      <c r="A26" s="878" t="s">
        <v>965</v>
      </c>
      <c r="B26" s="858"/>
      <c r="C26" s="877"/>
      <c r="D26" s="877"/>
      <c r="E26" s="877"/>
      <c r="F26" s="877"/>
      <c r="G26" s="877"/>
      <c r="H26" s="877"/>
      <c r="I26" s="877"/>
      <c r="J26" s="877"/>
      <c r="K26" s="858"/>
      <c r="L26" s="877"/>
      <c r="M26" s="420"/>
      <c r="Q26" s="425"/>
    </row>
    <row r="27" spans="1:17" s="419" customFormat="1" ht="15.75" x14ac:dyDescent="0.25">
      <c r="A27" s="878"/>
      <c r="B27" s="858" t="s">
        <v>1399</v>
      </c>
      <c r="C27" s="877"/>
      <c r="D27" s="877"/>
      <c r="E27" s="877"/>
      <c r="F27" s="877"/>
      <c r="G27" s="877"/>
      <c r="H27" s="877"/>
      <c r="I27" s="877"/>
      <c r="J27" s="877"/>
      <c r="K27" s="858"/>
      <c r="L27" s="877"/>
      <c r="M27" s="420"/>
      <c r="Q27" s="425"/>
    </row>
    <row r="28" spans="1:17" s="419" customFormat="1" ht="15.75" x14ac:dyDescent="0.25">
      <c r="A28" s="878"/>
      <c r="B28" s="858" t="s">
        <v>1631</v>
      </c>
      <c r="C28" s="877"/>
      <c r="D28" s="877"/>
      <c r="E28" s="877"/>
      <c r="F28" s="877"/>
      <c r="G28" s="877"/>
      <c r="H28" s="877"/>
      <c r="I28" s="877"/>
      <c r="J28" s="877"/>
      <c r="K28" s="858"/>
      <c r="L28" s="877"/>
      <c r="M28" s="420"/>
      <c r="Q28" s="425"/>
    </row>
    <row r="29" spans="1:17" s="419" customFormat="1" ht="15.75" x14ac:dyDescent="0.25">
      <c r="A29" s="878"/>
      <c r="B29" s="858" t="s">
        <v>1632</v>
      </c>
      <c r="C29" s="877"/>
      <c r="D29" s="877"/>
      <c r="E29" s="877"/>
      <c r="F29" s="877"/>
      <c r="G29" s="877"/>
      <c r="H29" s="877"/>
      <c r="I29" s="877"/>
      <c r="J29" s="877"/>
      <c r="K29" s="858"/>
      <c r="L29" s="877"/>
      <c r="M29" s="420"/>
      <c r="Q29" s="425"/>
    </row>
    <row r="30" spans="1:17" s="419" customFormat="1" ht="15.75" x14ac:dyDescent="0.25">
      <c r="A30" s="878"/>
      <c r="B30" s="858"/>
      <c r="C30" s="877"/>
      <c r="D30" s="877"/>
      <c r="E30" s="877"/>
      <c r="F30" s="877"/>
      <c r="G30" s="877"/>
      <c r="H30" s="877"/>
      <c r="I30" s="877"/>
      <c r="J30" s="877"/>
      <c r="K30" s="858"/>
      <c r="L30" s="877"/>
      <c r="M30" s="420"/>
      <c r="Q30" s="425"/>
    </row>
    <row r="31" spans="1:17" s="419" customFormat="1" ht="15.75" x14ac:dyDescent="0.25">
      <c r="A31" s="858"/>
      <c r="B31" s="858" t="s">
        <v>1633</v>
      </c>
      <c r="C31" s="877"/>
      <c r="D31" s="877"/>
      <c r="E31" s="877"/>
      <c r="F31" s="877"/>
      <c r="G31" s="877"/>
      <c r="H31" s="877"/>
      <c r="I31" s="877"/>
      <c r="J31" s="877"/>
      <c r="K31" s="858"/>
      <c r="L31" s="877"/>
      <c r="M31" s="420"/>
      <c r="Q31" s="425"/>
    </row>
    <row r="32" spans="1:17" s="419" customFormat="1" ht="15.75" x14ac:dyDescent="0.25">
      <c r="C32" s="420"/>
      <c r="D32" s="420"/>
      <c r="E32" s="420"/>
      <c r="F32" s="420"/>
      <c r="G32" s="420"/>
      <c r="H32" s="420"/>
      <c r="I32" s="420"/>
      <c r="J32" s="420"/>
      <c r="L32" s="420"/>
      <c r="M32" s="420"/>
      <c r="Q32" s="425"/>
    </row>
    <row r="33" spans="2:17" s="419" customFormat="1" ht="15.75" x14ac:dyDescent="0.25">
      <c r="C33" s="420"/>
      <c r="D33" s="420"/>
      <c r="E33" s="420"/>
      <c r="F33" s="420"/>
      <c r="G33" s="420"/>
      <c r="H33" s="420"/>
      <c r="I33" s="420"/>
      <c r="J33" s="420"/>
      <c r="L33" s="420"/>
      <c r="M33" s="420"/>
      <c r="Q33" s="425"/>
    </row>
    <row r="34" spans="2:17" s="419" customFormat="1" ht="15.75" x14ac:dyDescent="0.25">
      <c r="C34" s="420"/>
      <c r="D34" s="420"/>
      <c r="E34" s="420"/>
      <c r="F34" s="420"/>
      <c r="G34" s="420"/>
      <c r="H34" s="420"/>
      <c r="I34" s="420"/>
      <c r="J34" s="420"/>
      <c r="L34" s="420"/>
      <c r="M34" s="420"/>
      <c r="Q34" s="425"/>
    </row>
    <row r="35" spans="2:17" s="419" customFormat="1" ht="15.75" x14ac:dyDescent="0.25">
      <c r="C35" s="420"/>
      <c r="D35" s="420"/>
      <c r="E35" s="420"/>
      <c r="F35" s="420"/>
      <c r="G35" s="420"/>
      <c r="H35" s="420"/>
      <c r="I35" s="420"/>
      <c r="J35" s="420"/>
      <c r="L35" s="420"/>
      <c r="M35" s="420"/>
      <c r="Q35" s="425"/>
    </row>
    <row r="36" spans="2:17" s="419" customFormat="1" ht="15.75" x14ac:dyDescent="0.25">
      <c r="B36" s="419" t="s">
        <v>900</v>
      </c>
      <c r="C36" s="420"/>
      <c r="D36" s="420"/>
      <c r="E36" s="420"/>
      <c r="F36" s="420"/>
      <c r="G36" s="420"/>
      <c r="H36" s="420">
        <v>109</v>
      </c>
      <c r="I36" s="420"/>
      <c r="J36" s="420"/>
      <c r="L36" s="420"/>
      <c r="M36" s="420"/>
      <c r="Q36" s="425"/>
    </row>
    <row r="37" spans="2:17" s="419" customFormat="1" ht="15.75" x14ac:dyDescent="0.25">
      <c r="B37" s="419" t="s">
        <v>899</v>
      </c>
      <c r="C37" s="420"/>
      <c r="D37" s="420"/>
      <c r="E37" s="420"/>
      <c r="F37" s="420"/>
      <c r="G37" s="420"/>
      <c r="H37" s="420">
        <v>85</v>
      </c>
      <c r="I37" s="420"/>
      <c r="J37" s="420"/>
      <c r="L37" s="420"/>
      <c r="M37" s="420"/>
      <c r="Q37" s="425"/>
    </row>
    <row r="38" spans="2:17" s="419" customFormat="1" ht="15.75" x14ac:dyDescent="0.25">
      <c r="B38" s="419" t="s">
        <v>898</v>
      </c>
      <c r="C38" s="420"/>
      <c r="D38" s="420"/>
      <c r="E38" s="420"/>
      <c r="F38" s="420"/>
      <c r="G38" s="420"/>
      <c r="H38" s="420">
        <v>76</v>
      </c>
      <c r="I38" s="420"/>
      <c r="J38" s="420"/>
      <c r="L38" s="420"/>
      <c r="M38" s="420"/>
      <c r="Q38" s="425"/>
    </row>
    <row r="39" spans="2:17" s="419" customFormat="1" ht="15.75" x14ac:dyDescent="0.25">
      <c r="B39" s="419" t="s">
        <v>897</v>
      </c>
      <c r="C39" s="420"/>
      <c r="D39" s="420"/>
      <c r="E39" s="420"/>
      <c r="F39" s="420"/>
      <c r="G39" s="420"/>
      <c r="H39" s="420">
        <v>59</v>
      </c>
      <c r="I39" s="420"/>
      <c r="J39" s="420"/>
      <c r="L39" s="420"/>
      <c r="M39" s="420"/>
      <c r="Q39" s="425"/>
    </row>
    <row r="40" spans="2:17" s="419" customFormat="1" ht="15.75" x14ac:dyDescent="0.25">
      <c r="B40" s="419" t="s">
        <v>881</v>
      </c>
      <c r="C40" s="420"/>
      <c r="D40" s="420"/>
      <c r="E40" s="420"/>
      <c r="F40" s="420"/>
      <c r="G40" s="420"/>
      <c r="H40" s="420">
        <v>56</v>
      </c>
      <c r="I40" s="420"/>
      <c r="J40" s="420"/>
      <c r="L40" s="420"/>
      <c r="M40" s="420"/>
      <c r="Q40" s="425"/>
    </row>
    <row r="41" spans="2:17" s="419" customFormat="1" ht="15.75" x14ac:dyDescent="0.25">
      <c r="B41" s="419" t="s">
        <v>791</v>
      </c>
      <c r="C41" s="420"/>
      <c r="D41" s="420"/>
      <c r="E41" s="420"/>
      <c r="F41" s="420"/>
      <c r="G41" s="420"/>
      <c r="H41" s="420">
        <v>70</v>
      </c>
      <c r="I41" s="420"/>
      <c r="J41" s="420"/>
      <c r="L41" s="420"/>
      <c r="M41" s="420"/>
      <c r="Q41" s="425"/>
    </row>
    <row r="42" spans="2:17" s="419" customFormat="1" ht="15.75" x14ac:dyDescent="0.25">
      <c r="B42" s="419" t="s">
        <v>732</v>
      </c>
      <c r="C42" s="420"/>
      <c r="D42" s="420"/>
      <c r="E42" s="420"/>
      <c r="F42" s="420"/>
      <c r="G42" s="420"/>
      <c r="H42" s="420">
        <v>67</v>
      </c>
      <c r="I42" s="420"/>
      <c r="J42" s="420"/>
      <c r="L42" s="420"/>
      <c r="M42" s="420"/>
      <c r="Q42" s="425"/>
    </row>
    <row r="43" spans="2:17" s="419" customFormat="1" ht="15.75" x14ac:dyDescent="0.25">
      <c r="C43" s="420"/>
      <c r="D43" s="420"/>
      <c r="E43" s="420"/>
      <c r="F43" s="420"/>
      <c r="G43" s="420"/>
      <c r="H43" s="420"/>
      <c r="I43" s="420"/>
      <c r="J43" s="420"/>
      <c r="K43" s="419" t="s">
        <v>1321</v>
      </c>
      <c r="L43" s="420"/>
      <c r="M43" s="420"/>
      <c r="Q43" s="425"/>
    </row>
    <row r="44" spans="2:17" s="419" customFormat="1" ht="15.75" x14ac:dyDescent="0.25">
      <c r="C44" s="420"/>
      <c r="D44" s="420"/>
      <c r="E44" s="420"/>
      <c r="F44" s="420"/>
      <c r="G44" s="420"/>
      <c r="H44" s="420"/>
      <c r="I44" s="420" t="s">
        <v>1319</v>
      </c>
      <c r="J44" s="420" t="s">
        <v>1320</v>
      </c>
      <c r="K44" s="419" t="s">
        <v>1322</v>
      </c>
      <c r="L44" s="420"/>
      <c r="M44" s="420"/>
      <c r="Q44" s="425"/>
    </row>
    <row r="45" spans="2:17" s="419" customFormat="1" ht="15.75" x14ac:dyDescent="0.25">
      <c r="B45" s="419" t="s">
        <v>1317</v>
      </c>
      <c r="C45" s="420"/>
      <c r="D45" s="420"/>
      <c r="E45" s="420"/>
      <c r="F45" s="420"/>
      <c r="G45" s="420"/>
      <c r="H45" s="420">
        <v>12414</v>
      </c>
      <c r="I45" s="420">
        <v>85</v>
      </c>
      <c r="J45" s="786">
        <f>+I45*H45</f>
        <v>1055190</v>
      </c>
      <c r="L45" s="420"/>
      <c r="M45" s="420"/>
      <c r="Q45" s="425"/>
    </row>
    <row r="46" spans="2:17" s="419" customFormat="1" ht="15.75" x14ac:dyDescent="0.25">
      <c r="C46" s="420"/>
      <c r="D46" s="420"/>
      <c r="E46" s="420"/>
      <c r="F46" s="420"/>
      <c r="G46" s="420"/>
      <c r="H46" s="420">
        <v>12500</v>
      </c>
      <c r="I46" s="420">
        <v>109</v>
      </c>
      <c r="J46" s="786">
        <f t="shared" ref="J46:J48" si="6">+I46*H46</f>
        <v>1362500</v>
      </c>
      <c r="K46" s="787">
        <f>+J46-J45</f>
        <v>307310</v>
      </c>
      <c r="L46" s="420"/>
      <c r="M46" s="420"/>
      <c r="Q46" s="425"/>
    </row>
    <row r="47" spans="2:17" s="419" customFormat="1" ht="15.75" x14ac:dyDescent="0.25">
      <c r="C47" s="420"/>
      <c r="D47" s="420"/>
      <c r="E47" s="420"/>
      <c r="F47" s="420"/>
      <c r="G47" s="420"/>
      <c r="H47" s="420">
        <v>12600</v>
      </c>
      <c r="I47" s="420">
        <v>112</v>
      </c>
      <c r="J47" s="786">
        <f t="shared" si="6"/>
        <v>1411200</v>
      </c>
      <c r="K47" s="787">
        <f t="shared" ref="K47:K48" si="7">+J47-J46</f>
        <v>48700</v>
      </c>
      <c r="L47" s="420"/>
      <c r="M47" s="420"/>
      <c r="Q47" s="425"/>
    </row>
    <row r="48" spans="2:17" s="419" customFormat="1" ht="15.75" x14ac:dyDescent="0.25">
      <c r="C48" s="420"/>
      <c r="D48" s="420"/>
      <c r="E48" s="420"/>
      <c r="F48" s="420"/>
      <c r="G48" s="420"/>
      <c r="H48" s="420">
        <v>12700</v>
      </c>
      <c r="I48" s="420">
        <v>115</v>
      </c>
      <c r="J48" s="786">
        <f t="shared" si="6"/>
        <v>1460500</v>
      </c>
      <c r="K48" s="787">
        <f t="shared" si="7"/>
        <v>49300</v>
      </c>
      <c r="L48" s="420"/>
      <c r="M48" s="420"/>
      <c r="Q48" s="425"/>
    </row>
    <row r="49" spans="1:17" s="419" customFormat="1" ht="15.75" x14ac:dyDescent="0.25">
      <c r="A49" s="672"/>
      <c r="B49" s="672"/>
      <c r="C49" s="684"/>
      <c r="D49" s="684"/>
      <c r="E49" s="684"/>
      <c r="F49" s="684"/>
      <c r="G49" s="684"/>
      <c r="H49" s="684"/>
      <c r="I49" s="684"/>
      <c r="J49" s="684"/>
      <c r="K49" s="672"/>
      <c r="L49" s="684"/>
      <c r="M49" s="684"/>
      <c r="N49" s="672"/>
      <c r="O49" s="672"/>
      <c r="P49" s="672"/>
      <c r="Q49" s="425"/>
    </row>
    <row r="50" spans="1:17" s="419" customFormat="1" ht="15.75" x14ac:dyDescent="0.25">
      <c r="A50" s="672"/>
      <c r="B50" s="672"/>
      <c r="C50" s="684"/>
      <c r="D50" s="684"/>
      <c r="E50" s="684"/>
      <c r="F50" s="684"/>
      <c r="G50" s="684"/>
      <c r="H50" s="684"/>
      <c r="I50" s="684"/>
      <c r="J50" s="684"/>
      <c r="K50" s="672"/>
      <c r="L50" s="684"/>
      <c r="M50" s="684"/>
      <c r="N50" s="672"/>
      <c r="O50" s="672"/>
      <c r="P50" s="672"/>
      <c r="Q50" s="425"/>
    </row>
    <row r="51" spans="1:17" s="419" customFormat="1" ht="15.75" x14ac:dyDescent="0.25">
      <c r="A51" s="672"/>
      <c r="B51" s="672"/>
      <c r="C51" s="684"/>
      <c r="D51" s="684"/>
      <c r="E51" s="684"/>
      <c r="F51" s="684"/>
      <c r="G51" s="684"/>
      <c r="H51" s="684"/>
      <c r="I51" s="684"/>
      <c r="J51" s="684"/>
      <c r="K51" s="672"/>
      <c r="L51" s="684"/>
      <c r="M51" s="684"/>
      <c r="N51" s="672"/>
      <c r="O51" s="672"/>
      <c r="P51" s="672"/>
      <c r="Q51" s="425"/>
    </row>
    <row r="52" spans="1:17" s="419" customFormat="1" ht="15.75" x14ac:dyDescent="0.25">
      <c r="A52" s="672"/>
      <c r="B52" s="672"/>
      <c r="C52" s="684"/>
      <c r="D52" s="684"/>
      <c r="E52" s="684"/>
      <c r="F52" s="684"/>
      <c r="G52" s="684"/>
      <c r="H52" s="684"/>
      <c r="I52" s="684"/>
      <c r="J52" s="684"/>
      <c r="K52" s="672"/>
      <c r="L52" s="684"/>
      <c r="M52" s="684"/>
      <c r="N52" s="672"/>
      <c r="O52" s="672"/>
      <c r="P52" s="672"/>
      <c r="Q52" s="425"/>
    </row>
    <row r="53" spans="1:17" s="419" customFormat="1" ht="15.75" x14ac:dyDescent="0.25">
      <c r="A53" s="672"/>
      <c r="B53" s="672"/>
      <c r="C53" s="684"/>
      <c r="D53" s="684"/>
      <c r="E53" s="684"/>
      <c r="F53" s="684"/>
      <c r="G53" s="684"/>
      <c r="H53" s="684"/>
      <c r="I53" s="684"/>
      <c r="J53" s="684"/>
      <c r="K53" s="672"/>
      <c r="L53" s="684"/>
      <c r="M53" s="684"/>
      <c r="N53" s="672"/>
      <c r="O53" s="672"/>
      <c r="P53" s="672"/>
      <c r="Q53" s="425"/>
    </row>
    <row r="54" spans="1:17" s="419" customFormat="1" ht="15.75" x14ac:dyDescent="0.25">
      <c r="A54" s="672"/>
      <c r="B54" s="672"/>
      <c r="C54" s="684"/>
      <c r="D54" s="684"/>
      <c r="E54" s="684"/>
      <c r="F54" s="684"/>
      <c r="G54" s="684"/>
      <c r="H54" s="684"/>
      <c r="I54" s="684"/>
      <c r="J54" s="684"/>
      <c r="K54" s="672"/>
      <c r="L54" s="684"/>
      <c r="M54" s="684"/>
      <c r="N54" s="672"/>
      <c r="O54" s="672"/>
      <c r="P54" s="672"/>
      <c r="Q54" s="425"/>
    </row>
    <row r="55" spans="1:17" s="419" customFormat="1" ht="15.75" x14ac:dyDescent="0.25">
      <c r="A55" s="672"/>
      <c r="B55" s="672"/>
      <c r="C55" s="684"/>
      <c r="D55" s="684"/>
      <c r="E55" s="684"/>
      <c r="F55" s="684"/>
      <c r="G55" s="684"/>
      <c r="H55" s="684"/>
      <c r="I55" s="684"/>
      <c r="J55" s="684"/>
      <c r="K55" s="672"/>
      <c r="L55" s="684"/>
      <c r="M55" s="684"/>
      <c r="N55" s="672"/>
      <c r="O55" s="672"/>
      <c r="P55" s="672"/>
      <c r="Q55" s="425"/>
    </row>
    <row r="56" spans="1:17" s="419" customFormat="1" ht="15.75" x14ac:dyDescent="0.25">
      <c r="A56" s="672"/>
      <c r="B56" s="672"/>
      <c r="C56" s="684"/>
      <c r="D56" s="684"/>
      <c r="E56" s="684"/>
      <c r="F56" s="684"/>
      <c r="G56" s="684"/>
      <c r="H56" s="684"/>
      <c r="I56" s="684"/>
      <c r="J56" s="684"/>
      <c r="K56" s="672"/>
      <c r="L56" s="684"/>
      <c r="M56" s="684"/>
      <c r="N56" s="672"/>
      <c r="O56" s="672"/>
      <c r="P56" s="672"/>
      <c r="Q56" s="425"/>
    </row>
    <row r="57" spans="1:17" s="419" customFormat="1" ht="15.75" x14ac:dyDescent="0.25">
      <c r="A57" s="672"/>
      <c r="B57" s="672"/>
      <c r="C57" s="684"/>
      <c r="D57" s="684"/>
      <c r="E57" s="684"/>
      <c r="F57" s="684"/>
      <c r="G57" s="684"/>
      <c r="H57" s="684"/>
      <c r="I57" s="684"/>
      <c r="J57" s="684"/>
      <c r="K57" s="672"/>
      <c r="L57" s="684"/>
      <c r="M57" s="684"/>
      <c r="N57" s="672"/>
      <c r="O57" s="672"/>
      <c r="P57" s="672"/>
      <c r="Q57" s="425"/>
    </row>
    <row r="58" spans="1:17" s="419" customFormat="1" ht="15.75" x14ac:dyDescent="0.25">
      <c r="A58" s="672"/>
      <c r="B58" s="672"/>
      <c r="C58" s="684"/>
      <c r="D58" s="684"/>
      <c r="E58" s="684"/>
      <c r="F58" s="684"/>
      <c r="G58" s="684"/>
      <c r="H58" s="684"/>
      <c r="I58" s="684"/>
      <c r="J58" s="684"/>
      <c r="K58" s="672"/>
      <c r="L58" s="684"/>
      <c r="M58" s="684"/>
      <c r="N58" s="672"/>
      <c r="O58" s="672"/>
      <c r="P58" s="672"/>
      <c r="Q58" s="425"/>
    </row>
    <row r="59" spans="1:17" s="419" customFormat="1" ht="15.75" x14ac:dyDescent="0.25">
      <c r="A59" s="672"/>
      <c r="B59" s="672"/>
      <c r="C59" s="684"/>
      <c r="D59" s="684"/>
      <c r="E59" s="684"/>
      <c r="F59" s="684"/>
      <c r="G59" s="684"/>
      <c r="H59" s="684"/>
      <c r="I59" s="684"/>
      <c r="J59" s="684"/>
      <c r="K59" s="672"/>
      <c r="L59" s="684"/>
      <c r="M59" s="684"/>
      <c r="N59" s="672"/>
      <c r="O59" s="672"/>
      <c r="P59" s="672"/>
      <c r="Q59" s="425"/>
    </row>
    <row r="60" spans="1:17" s="419" customFormat="1" ht="15.75" x14ac:dyDescent="0.25">
      <c r="A60" s="672"/>
      <c r="B60" s="672"/>
      <c r="C60" s="684"/>
      <c r="D60" s="684"/>
      <c r="E60" s="684"/>
      <c r="F60" s="684"/>
      <c r="G60" s="684"/>
      <c r="H60" s="684"/>
      <c r="I60" s="684"/>
      <c r="J60" s="684"/>
      <c r="K60" s="672"/>
      <c r="L60" s="684"/>
      <c r="M60" s="684"/>
      <c r="N60" s="672"/>
      <c r="O60" s="672"/>
      <c r="P60" s="672"/>
      <c r="Q60" s="425"/>
    </row>
    <row r="61" spans="1:17" s="419" customFormat="1" ht="15.75" x14ac:dyDescent="0.25">
      <c r="A61" s="672"/>
      <c r="B61" s="672"/>
      <c r="C61" s="684"/>
      <c r="D61" s="684"/>
      <c r="E61" s="684"/>
      <c r="F61" s="684"/>
      <c r="G61" s="684"/>
      <c r="H61" s="684"/>
      <c r="I61" s="684"/>
      <c r="J61" s="684"/>
      <c r="K61" s="672"/>
      <c r="L61" s="684"/>
      <c r="M61" s="684"/>
      <c r="N61" s="672"/>
      <c r="O61" s="672"/>
      <c r="P61" s="672"/>
      <c r="Q61" s="425"/>
    </row>
    <row r="62" spans="1:17" s="419" customFormat="1" ht="15.75" x14ac:dyDescent="0.25">
      <c r="A62" s="672"/>
      <c r="B62" s="672"/>
      <c r="C62" s="684"/>
      <c r="D62" s="684"/>
      <c r="E62" s="684"/>
      <c r="F62" s="684"/>
      <c r="G62" s="684"/>
      <c r="H62" s="684"/>
      <c r="I62" s="684"/>
      <c r="J62" s="684"/>
      <c r="K62" s="672"/>
      <c r="L62" s="684"/>
      <c r="M62" s="684"/>
      <c r="N62" s="672"/>
      <c r="O62" s="672"/>
      <c r="P62" s="672"/>
      <c r="Q62" s="425"/>
    </row>
    <row r="63" spans="1:17" s="419" customFormat="1" ht="15.75" x14ac:dyDescent="0.25">
      <c r="A63" s="672"/>
      <c r="B63" s="672"/>
      <c r="C63" s="684"/>
      <c r="D63" s="684"/>
      <c r="E63" s="684"/>
      <c r="F63" s="684"/>
      <c r="G63" s="684"/>
      <c r="H63" s="684"/>
      <c r="I63" s="684"/>
      <c r="J63" s="684"/>
      <c r="K63" s="672"/>
      <c r="L63" s="684"/>
      <c r="M63" s="684"/>
      <c r="N63" s="672"/>
      <c r="O63" s="672"/>
      <c r="P63" s="672"/>
      <c r="Q63" s="425"/>
    </row>
    <row r="64" spans="1:17" x14ac:dyDescent="0.2">
      <c r="A64" s="4"/>
      <c r="B64" s="4"/>
      <c r="C64" s="25"/>
      <c r="D64" s="25"/>
      <c r="E64" s="25"/>
      <c r="F64" s="25"/>
      <c r="G64" s="25"/>
      <c r="H64" s="25"/>
      <c r="I64" s="25"/>
      <c r="J64" s="25"/>
      <c r="K64" s="4"/>
      <c r="L64" s="25"/>
      <c r="M64" s="25"/>
      <c r="N64" s="4"/>
      <c r="O64" s="4"/>
      <c r="P64" s="4"/>
    </row>
    <row r="65" spans="1:16" x14ac:dyDescent="0.2">
      <c r="A65" s="4"/>
      <c r="B65" s="4"/>
      <c r="C65" s="25"/>
      <c r="D65" s="25"/>
      <c r="E65" s="25"/>
      <c r="F65" s="25"/>
      <c r="G65" s="25"/>
      <c r="H65" s="25"/>
      <c r="I65" s="25"/>
      <c r="J65" s="25"/>
      <c r="K65" s="4"/>
      <c r="L65" s="25"/>
      <c r="M65" s="25"/>
      <c r="N65" s="4"/>
      <c r="O65" s="4"/>
      <c r="P65" s="4"/>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C109" s="121"/>
    </row>
    <row r="110" spans="1:16" x14ac:dyDescent="0.2">
      <c r="C110" s="121"/>
    </row>
    <row r="111" spans="1:16" x14ac:dyDescent="0.2">
      <c r="C111" s="121"/>
    </row>
    <row r="112" spans="1:16"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row r="128" spans="3:3"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sheetData>
  <phoneticPr fontId="0" type="noConversion"/>
  <hyperlinks>
    <hyperlink ref="A1" location="'Working Budget with funding det'!A1" display="Main "/>
    <hyperlink ref="B1" location="'Table of Contents'!A1" display="TOC"/>
  </hyperlinks>
  <pageMargins left="0.75" right="0.75" top="1" bottom="1" header="0.5" footer="0.5"/>
  <pageSetup scale="92" orientation="landscape" horizontalDpi="300" verticalDpi="300" r:id="rId1"/>
  <headerFooter alignWithMargins="0">
    <oddFooter>&amp;L&amp;D     &amp;T&amp;C&amp;F&amp;R&amp;A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5"/>
  <sheetViews>
    <sheetView topLeftCell="A7" workbookViewId="0">
      <selection activeCell="B3" sqref="B3"/>
    </sheetView>
  </sheetViews>
  <sheetFormatPr defaultRowHeight="12.75" x14ac:dyDescent="0.2"/>
  <cols>
    <col min="1" max="1" width="50" customWidth="1"/>
    <col min="2" max="3" width="12" style="2" customWidth="1"/>
    <col min="4" max="4" width="11.5" customWidth="1"/>
    <col min="5" max="5" width="13.83203125" customWidth="1"/>
    <col min="6" max="6" width="22" style="101" customWidth="1"/>
    <col min="7" max="7" width="24.33203125" style="101" customWidth="1"/>
    <col min="8" max="8" width="14.1640625" style="101" customWidth="1"/>
    <col min="9" max="9" width="11.33203125" style="101" customWidth="1"/>
    <col min="10" max="10" width="9.33203125" style="101"/>
    <col min="11" max="11" width="31.33203125" style="101" customWidth="1"/>
    <col min="12" max="13" width="9.33203125" style="101"/>
  </cols>
  <sheetData>
    <row r="1" spans="1:11" x14ac:dyDescent="0.2">
      <c r="A1" s="410" t="s">
        <v>1418</v>
      </c>
    </row>
    <row r="2" spans="1:11" ht="52.5" x14ac:dyDescent="0.3">
      <c r="A2" s="314"/>
      <c r="B2" s="830" t="s">
        <v>1391</v>
      </c>
      <c r="D2" s="831"/>
    </row>
    <row r="3" spans="1:11" x14ac:dyDescent="0.2">
      <c r="A3" s="290"/>
      <c r="B3" s="671"/>
      <c r="C3" s="671"/>
      <c r="D3" s="194"/>
      <c r="E3" s="207"/>
      <c r="F3" s="236"/>
      <c r="H3" s="190"/>
      <c r="K3" s="313"/>
    </row>
    <row r="4" spans="1:11" x14ac:dyDescent="0.2">
      <c r="A4" s="236"/>
      <c r="B4" s="190" t="s">
        <v>523</v>
      </c>
      <c r="C4" s="190"/>
      <c r="D4" s="101"/>
      <c r="E4" s="361"/>
      <c r="F4" s="236"/>
      <c r="H4" s="190"/>
    </row>
    <row r="5" spans="1:11" x14ac:dyDescent="0.2">
      <c r="A5" s="276"/>
      <c r="B5" s="190" t="s">
        <v>667</v>
      </c>
      <c r="C5" s="190"/>
      <c r="D5" s="101"/>
      <c r="E5" s="361"/>
      <c r="F5" s="236"/>
      <c r="H5" s="190"/>
    </row>
    <row r="6" spans="1:11" x14ac:dyDescent="0.2">
      <c r="A6" s="188"/>
      <c r="B6" s="190"/>
      <c r="C6" s="190"/>
      <c r="D6" s="101"/>
      <c r="E6" s="361"/>
      <c r="H6" s="190"/>
    </row>
    <row r="7" spans="1:11" x14ac:dyDescent="0.2">
      <c r="A7" s="188" t="s">
        <v>676</v>
      </c>
      <c r="B7" s="59">
        <f>+'Revenue Projections Detail'!K16</f>
        <v>19598503</v>
      </c>
      <c r="C7" s="59"/>
      <c r="D7" s="59"/>
      <c r="E7" s="361"/>
      <c r="G7" s="59"/>
      <c r="H7" s="59"/>
    </row>
    <row r="8" spans="1:11" x14ac:dyDescent="0.2">
      <c r="A8" s="188" t="s">
        <v>934</v>
      </c>
      <c r="B8" s="61">
        <f>-'Revenue Projections Detail'!K11</f>
        <v>-1165193</v>
      </c>
      <c r="C8" s="59"/>
      <c r="D8" s="59"/>
      <c r="E8" s="361"/>
      <c r="G8" s="59"/>
      <c r="H8" s="59"/>
    </row>
    <row r="9" spans="1:11" x14ac:dyDescent="0.2">
      <c r="A9" s="188" t="s">
        <v>668</v>
      </c>
      <c r="B9" s="59">
        <f>SUM(B7:B8)</f>
        <v>18433310</v>
      </c>
      <c r="C9" s="59"/>
      <c r="D9" s="59"/>
      <c r="E9" s="361"/>
      <c r="H9" s="59"/>
    </row>
    <row r="10" spans="1:11" x14ac:dyDescent="0.2">
      <c r="A10" s="188"/>
      <c r="B10" s="59"/>
      <c r="C10" s="59"/>
      <c r="D10" s="101"/>
      <c r="E10" s="361"/>
      <c r="H10" s="59"/>
    </row>
    <row r="11" spans="1:11" x14ac:dyDescent="0.2">
      <c r="A11" s="188" t="s">
        <v>675</v>
      </c>
      <c r="B11" s="59">
        <f>+'Revenue Projections Detail'!K28</f>
        <v>1795836</v>
      </c>
      <c r="C11" s="59"/>
      <c r="D11" s="59"/>
      <c r="E11" s="361"/>
      <c r="H11" s="59"/>
      <c r="I11" s="383"/>
      <c r="J11" s="191"/>
    </row>
    <row r="12" spans="1:11" x14ac:dyDescent="0.2">
      <c r="A12" s="188"/>
      <c r="B12" s="59"/>
      <c r="C12" s="59"/>
      <c r="D12" s="101"/>
      <c r="E12" s="361"/>
      <c r="H12" s="59"/>
      <c r="J12" s="426"/>
    </row>
    <row r="13" spans="1:11" x14ac:dyDescent="0.2">
      <c r="A13" s="188" t="s">
        <v>859</v>
      </c>
      <c r="B13" s="59">
        <f>+'Revenue Projections Detail'!K49</f>
        <v>1513900</v>
      </c>
      <c r="C13" s="59"/>
      <c r="D13" s="59"/>
      <c r="E13" s="361"/>
      <c r="H13" s="59"/>
      <c r="J13" s="191"/>
    </row>
    <row r="14" spans="1:11" x14ac:dyDescent="0.2">
      <c r="A14" s="188"/>
      <c r="B14" s="59"/>
      <c r="C14" s="59"/>
      <c r="D14" s="101"/>
      <c r="E14" s="361"/>
      <c r="H14" s="59"/>
    </row>
    <row r="15" spans="1:11" x14ac:dyDescent="0.2">
      <c r="A15" s="188" t="s">
        <v>674</v>
      </c>
      <c r="B15" s="59">
        <f>+'Revenue Projections Detail'!K72</f>
        <v>0</v>
      </c>
      <c r="C15" s="59"/>
      <c r="D15" s="59"/>
      <c r="E15" s="361"/>
      <c r="H15" s="59"/>
    </row>
    <row r="16" spans="1:11" x14ac:dyDescent="0.2">
      <c r="A16" s="188"/>
      <c r="B16" s="59"/>
      <c r="C16" s="59"/>
      <c r="D16" s="101"/>
      <c r="E16" s="361"/>
      <c r="H16" s="59"/>
    </row>
    <row r="17" spans="1:10" ht="13.5" thickBot="1" x14ac:dyDescent="0.25">
      <c r="A17" s="188" t="s">
        <v>669</v>
      </c>
      <c r="B17" s="60">
        <f>SUM(B9:B16)</f>
        <v>21743046</v>
      </c>
      <c r="C17" s="59"/>
      <c r="D17" s="59"/>
      <c r="E17" s="361"/>
      <c r="H17" s="59"/>
      <c r="I17" s="204"/>
    </row>
    <row r="18" spans="1:10" ht="13.5" thickTop="1" x14ac:dyDescent="0.2">
      <c r="A18" s="188"/>
      <c r="B18" s="59"/>
      <c r="C18" s="59"/>
      <c r="D18" s="101"/>
      <c r="E18" s="361"/>
      <c r="H18" s="59"/>
    </row>
    <row r="19" spans="1:10" x14ac:dyDescent="0.2">
      <c r="A19" s="188" t="s">
        <v>672</v>
      </c>
      <c r="B19" s="59"/>
      <c r="C19" s="59"/>
      <c r="D19" s="101"/>
      <c r="E19" s="361"/>
      <c r="H19" s="59"/>
    </row>
    <row r="20" spans="1:10" x14ac:dyDescent="0.2">
      <c r="A20" s="188" t="s">
        <v>658</v>
      </c>
      <c r="B20" s="59">
        <f>ROUND((+B17*0.485),0)</f>
        <v>10545377</v>
      </c>
      <c r="C20" s="59"/>
      <c r="D20" s="59"/>
      <c r="E20" s="361"/>
      <c r="H20" s="59"/>
    </row>
    <row r="21" spans="1:10" x14ac:dyDescent="0.2">
      <c r="A21" s="188" t="s">
        <v>673</v>
      </c>
      <c r="B21" s="59">
        <f>+'Debt Exclusion Calc.'!I28</f>
        <v>186891</v>
      </c>
      <c r="C21" s="59"/>
      <c r="D21" s="59"/>
      <c r="E21" s="361"/>
      <c r="H21" s="59"/>
      <c r="I21" s="59"/>
      <c r="J21" s="236"/>
    </row>
    <row r="22" spans="1:10" ht="13.5" thickBot="1" x14ac:dyDescent="0.25">
      <c r="A22" s="188" t="s">
        <v>431</v>
      </c>
      <c r="B22" s="60">
        <f>SUM(B20:B21)</f>
        <v>10732268</v>
      </c>
      <c r="C22" s="59">
        <f>SUM(C20:C21)</f>
        <v>0</v>
      </c>
      <c r="D22" s="59"/>
      <c r="E22" s="361"/>
      <c r="H22" s="59"/>
      <c r="I22" s="242"/>
      <c r="J22" s="236"/>
    </row>
    <row r="23" spans="1:10" ht="13.5" thickTop="1" x14ac:dyDescent="0.2">
      <c r="A23" s="373"/>
      <c r="B23" s="59"/>
      <c r="C23" s="59"/>
      <c r="D23" s="101"/>
      <c r="E23" s="361"/>
      <c r="G23" s="191"/>
      <c r="H23" s="59"/>
      <c r="I23" s="59"/>
    </row>
    <row r="24" spans="1:10" x14ac:dyDescent="0.2">
      <c r="A24" s="188"/>
      <c r="B24" s="59"/>
      <c r="C24" s="59"/>
      <c r="E24" s="361"/>
      <c r="H24" s="59"/>
      <c r="I24" s="204"/>
    </row>
    <row r="25" spans="1:10" x14ac:dyDescent="0.2">
      <c r="A25" s="276" t="s">
        <v>758</v>
      </c>
      <c r="B25" s="59">
        <f>+D26</f>
        <v>10732268</v>
      </c>
      <c r="C25" s="59">
        <f>+C22</f>
        <v>0</v>
      </c>
      <c r="D25" s="59">
        <v>10229737</v>
      </c>
      <c r="E25" s="374" t="s">
        <v>1360</v>
      </c>
      <c r="F25" s="236"/>
      <c r="H25" s="59"/>
    </row>
    <row r="26" spans="1:10" ht="13.5" thickBot="1" x14ac:dyDescent="0.25">
      <c r="A26" s="188" t="s">
        <v>1239</v>
      </c>
      <c r="B26" s="59">
        <f>+B25-B22</f>
        <v>0</v>
      </c>
      <c r="C26" s="59">
        <f>+C25-C22</f>
        <v>0</v>
      </c>
      <c r="D26" s="832">
        <f>+B22</f>
        <v>10732268</v>
      </c>
      <c r="E26" s="361"/>
      <c r="H26" s="59"/>
    </row>
    <row r="27" spans="1:10" x14ac:dyDescent="0.2">
      <c r="A27" s="373" t="s">
        <v>1305</v>
      </c>
      <c r="B27" s="61">
        <f>+'Working Budget with funding det'!N118</f>
        <v>0</v>
      </c>
      <c r="C27" s="59">
        <f>+B27</f>
        <v>0</v>
      </c>
      <c r="D27" s="59">
        <f>+D26-D25</f>
        <v>502531</v>
      </c>
      <c r="E27" s="361" t="s">
        <v>340</v>
      </c>
      <c r="H27" s="59"/>
    </row>
    <row r="28" spans="1:10" x14ac:dyDescent="0.2">
      <c r="A28" s="188" t="s">
        <v>333</v>
      </c>
      <c r="B28" s="59">
        <f>+B25-B26-B27</f>
        <v>10732268</v>
      </c>
      <c r="C28" s="59">
        <f>+C25-C26-C27</f>
        <v>0</v>
      </c>
      <c r="D28" s="204">
        <f>ROUND((+D27/D25),4)</f>
        <v>4.9099999999999998E-2</v>
      </c>
      <c r="E28" s="361" t="s">
        <v>342</v>
      </c>
      <c r="H28" s="59"/>
    </row>
    <row r="29" spans="1:10" x14ac:dyDescent="0.2">
      <c r="A29" s="188"/>
      <c r="B29" s="59"/>
      <c r="C29" s="59"/>
      <c r="D29" s="101"/>
      <c r="E29" s="361"/>
      <c r="H29" s="59"/>
    </row>
    <row r="30" spans="1:10" x14ac:dyDescent="0.2">
      <c r="A30" s="188" t="s">
        <v>672</v>
      </c>
      <c r="B30" s="59"/>
      <c r="C30" s="59"/>
      <c r="D30" s="242"/>
      <c r="E30" s="374"/>
      <c r="H30" s="59"/>
    </row>
    <row r="31" spans="1:10" x14ac:dyDescent="0.2">
      <c r="A31" s="188" t="s">
        <v>658</v>
      </c>
      <c r="B31" s="59"/>
      <c r="C31" s="59"/>
      <c r="D31" s="408"/>
      <c r="E31" s="361"/>
      <c r="H31" s="59"/>
    </row>
    <row r="32" spans="1:10" x14ac:dyDescent="0.2">
      <c r="A32" s="188" t="s">
        <v>673</v>
      </c>
      <c r="B32" s="59"/>
      <c r="C32" s="59"/>
      <c r="D32" s="242"/>
      <c r="E32" s="361"/>
      <c r="H32" s="59"/>
    </row>
    <row r="33" spans="1:8" x14ac:dyDescent="0.2">
      <c r="A33" s="188" t="s">
        <v>431</v>
      </c>
      <c r="B33" s="59"/>
      <c r="C33" s="59"/>
      <c r="D33" s="204"/>
      <c r="E33" s="361"/>
      <c r="H33" s="59"/>
    </row>
    <row r="34" spans="1:8" x14ac:dyDescent="0.2">
      <c r="A34" s="78"/>
      <c r="B34" s="61"/>
      <c r="C34" s="61"/>
      <c r="D34" s="63"/>
      <c r="E34" s="362"/>
      <c r="H34" s="59"/>
    </row>
    <row r="35" spans="1:8" x14ac:dyDescent="0.2">
      <c r="A35" s="87"/>
    </row>
  </sheetData>
  <phoneticPr fontId="15" type="noConversion"/>
  <hyperlinks>
    <hyperlink ref="A1" location="'Table of Contents'!A1" display="TOC"/>
  </hyperlinks>
  <pageMargins left="0.75" right="0.75" top="1" bottom="1" header="0.5" footer="0.5"/>
  <pageSetup fitToHeight="2" orientation="portrait" r:id="rId1"/>
  <headerFooter alignWithMargins="0">
    <oddFooter>&amp;L&amp;D &amp;T&amp;C&amp;F&amp;R&amp;A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zoomScale="85" zoomScaleNormal="85" workbookViewId="0">
      <pane ySplit="7" topLeftCell="A69" activePane="bottomLeft" state="frozen"/>
      <selection activeCell="K15" sqref="K15"/>
      <selection pane="bottomLeft" activeCell="A89" sqref="A89"/>
    </sheetView>
  </sheetViews>
  <sheetFormatPr defaultRowHeight="12.75" x14ac:dyDescent="0.2"/>
  <cols>
    <col min="1" max="1" width="13.1640625" customWidth="1"/>
    <col min="2" max="2" width="36" customWidth="1"/>
    <col min="3" max="3" width="15.33203125" style="1" hidden="1" customWidth="1"/>
    <col min="4" max="7" width="15.33203125" style="121" hidden="1" customWidth="1"/>
    <col min="8" max="10" width="15.33203125" style="121" customWidth="1"/>
    <col min="11" max="14" width="14.5" style="1" customWidth="1"/>
    <col min="15" max="15" width="17.1640625" customWidth="1"/>
    <col min="16" max="16" width="14" customWidth="1"/>
    <col min="17" max="17" width="14.5" customWidth="1"/>
    <col min="18" max="18" width="14.6640625" style="87" customWidth="1"/>
    <col min="19" max="19" width="14.5" customWidth="1"/>
    <col min="20" max="20" width="13.6640625" style="2" customWidth="1"/>
    <col min="21" max="21" width="12.6640625" customWidth="1"/>
    <col min="22" max="22" width="14.1640625" customWidth="1"/>
    <col min="23" max="23" width="12.33203125" bestFit="1" customWidth="1"/>
  </cols>
  <sheetData>
    <row r="1" spans="1:19" x14ac:dyDescent="0.2">
      <c r="A1" s="410" t="s">
        <v>1013</v>
      </c>
      <c r="B1" s="410" t="s">
        <v>1418</v>
      </c>
      <c r="D1" s="235"/>
      <c r="E1" s="235"/>
      <c r="F1" s="235"/>
      <c r="G1" s="235"/>
      <c r="H1" s="235"/>
      <c r="I1" s="235"/>
      <c r="J1" s="235"/>
      <c r="M1"/>
      <c r="N1"/>
    </row>
    <row r="2" spans="1:19" ht="15" x14ac:dyDescent="0.25">
      <c r="A2" s="49" t="s">
        <v>257</v>
      </c>
      <c r="B2" s="49"/>
      <c r="E2" s="153"/>
      <c r="H2" s="153" t="s">
        <v>252</v>
      </c>
      <c r="I2" s="153"/>
      <c r="J2" s="153"/>
      <c r="K2" s="67" t="s">
        <v>438</v>
      </c>
      <c r="M2" s="50" t="s">
        <v>486</v>
      </c>
    </row>
    <row r="3" spans="1:19" ht="13.5" thickBot="1" x14ac:dyDescent="0.25">
      <c r="A3" s="4"/>
      <c r="B3" s="4"/>
      <c r="C3" s="25"/>
      <c r="D3" s="25"/>
      <c r="E3" s="25"/>
      <c r="F3" s="25"/>
      <c r="G3" s="25"/>
      <c r="H3" s="25"/>
      <c r="I3" s="25"/>
      <c r="J3" s="25"/>
      <c r="K3" s="25"/>
      <c r="L3" s="25"/>
      <c r="M3" s="4"/>
      <c r="N3" s="4"/>
      <c r="Q3" s="4"/>
      <c r="R3" s="4"/>
      <c r="S3" s="4"/>
    </row>
    <row r="4" spans="1:19" ht="13.5" thickTop="1" x14ac:dyDescent="0.2">
      <c r="A4" s="5"/>
      <c r="B4" s="726"/>
      <c r="C4" s="138" t="s">
        <v>122</v>
      </c>
      <c r="D4" s="279" t="s">
        <v>122</v>
      </c>
      <c r="E4" s="279" t="s">
        <v>122</v>
      </c>
      <c r="F4" s="279" t="s">
        <v>122</v>
      </c>
      <c r="G4" s="279" t="s">
        <v>122</v>
      </c>
      <c r="H4" s="119" t="s">
        <v>122</v>
      </c>
      <c r="I4" s="319" t="s">
        <v>122</v>
      </c>
      <c r="J4" s="319" t="s">
        <v>542</v>
      </c>
      <c r="K4" s="119" t="s">
        <v>489</v>
      </c>
      <c r="L4" s="92" t="s">
        <v>900</v>
      </c>
      <c r="M4" s="385" t="s">
        <v>900</v>
      </c>
      <c r="N4" s="235"/>
    </row>
    <row r="5" spans="1:19" x14ac:dyDescent="0.2">
      <c r="A5" s="93"/>
      <c r="B5" s="216"/>
      <c r="C5" s="137"/>
      <c r="D5" s="94"/>
      <c r="E5" s="120"/>
      <c r="F5" s="94"/>
      <c r="G5" s="94"/>
      <c r="H5" s="120"/>
      <c r="I5" s="320"/>
      <c r="J5" s="320"/>
      <c r="K5" s="120" t="s">
        <v>509</v>
      </c>
      <c r="L5" s="98" t="s">
        <v>7</v>
      </c>
      <c r="M5" s="209" t="s">
        <v>783</v>
      </c>
    </row>
    <row r="6" spans="1:19" x14ac:dyDescent="0.2">
      <c r="A6" s="93"/>
      <c r="B6" s="216"/>
      <c r="C6" s="137"/>
      <c r="D6" s="137"/>
      <c r="E6" s="137"/>
      <c r="F6" s="137"/>
      <c r="G6" s="137"/>
      <c r="H6" s="137"/>
      <c r="I6" s="98"/>
      <c r="J6" s="98"/>
      <c r="K6" s="137"/>
      <c r="L6" s="98" t="s">
        <v>8</v>
      </c>
      <c r="M6" s="97" t="s">
        <v>537</v>
      </c>
    </row>
    <row r="7" spans="1:19"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9" ht="13.5" thickTop="1" x14ac:dyDescent="0.2">
      <c r="A8" s="10"/>
      <c r="B8" s="192"/>
      <c r="C8" s="142"/>
      <c r="D8" s="19"/>
      <c r="E8" s="19"/>
      <c r="F8" s="19"/>
      <c r="G8" s="19"/>
      <c r="H8" s="19"/>
      <c r="I8" s="20"/>
      <c r="J8" s="20"/>
      <c r="K8" s="19"/>
      <c r="L8" s="20"/>
      <c r="M8" s="20"/>
    </row>
    <row r="9" spans="1:19" x14ac:dyDescent="0.2">
      <c r="A9" s="12">
        <v>5112</v>
      </c>
      <c r="B9" s="69" t="s">
        <v>517</v>
      </c>
      <c r="C9" s="140">
        <f>+'192 Public Bldgs'!C9+'422 Maintenance'!C9+'652 Parks'!C9</f>
        <v>650432.08000000007</v>
      </c>
      <c r="D9" s="14">
        <f>+'192 Public Bldgs'!D9+'422 Maintenance'!D9+'652 Parks'!D9</f>
        <v>699937.45999999985</v>
      </c>
      <c r="E9" s="14">
        <f>+'192 Public Bldgs'!E9+'422 Maintenance'!E9+'652 Parks'!E9</f>
        <v>694793.07000000007</v>
      </c>
      <c r="F9" s="14">
        <f>+'192 Public Bldgs'!F9+'422 Maintenance'!F9+'652 Parks'!F9</f>
        <v>721817.33</v>
      </c>
      <c r="G9" s="14">
        <f>+'192 Public Bldgs'!G9+'422 Maintenance'!G9+'652 Parks'!G9</f>
        <v>773672.43</v>
      </c>
      <c r="H9" s="14">
        <f>+'192 Public Bldgs'!H9+'422 Maintenance'!H9+'652 Parks'!H9</f>
        <v>808516.96</v>
      </c>
      <c r="I9" s="14">
        <f>+'192 Public Bldgs'!I9+'422 Maintenance'!I9+'652 Parks'!I9</f>
        <v>819356.52</v>
      </c>
      <c r="J9" s="44">
        <f>+'192 Public Bldgs'!J9+'422 Maintenance'!J9+'652 Parks'!J9</f>
        <v>909605</v>
      </c>
      <c r="K9" s="14">
        <f>+'192 Public Bldgs'!K9+'422 Maintenance'!K9+'652 Parks'!K9</f>
        <v>426068.66</v>
      </c>
      <c r="L9" s="44">
        <f>+'192 Public Bldgs'!L9+'422 Maintenance'!L9+'652 Parks'!L9</f>
        <v>923808</v>
      </c>
      <c r="M9" s="44">
        <f>+'192 Public Bldgs'!M9+'422 Maintenance'!M9+'652 Parks'!M9</f>
        <v>0</v>
      </c>
    </row>
    <row r="10" spans="1:19" x14ac:dyDescent="0.2">
      <c r="A10" s="12">
        <v>5124</v>
      </c>
      <c r="B10" s="69" t="s">
        <v>96</v>
      </c>
      <c r="C10" s="140">
        <f>+'652 Parks'!C10</f>
        <v>4630</v>
      </c>
      <c r="D10" s="14">
        <f>+'652 Parks'!D10</f>
        <v>4240.57</v>
      </c>
      <c r="E10" s="14">
        <f>+'652 Parks'!E10</f>
        <v>3855</v>
      </c>
      <c r="F10" s="14">
        <f>+'652 Parks'!F10</f>
        <v>5060</v>
      </c>
      <c r="G10" s="14">
        <f>+'652 Parks'!G10</f>
        <v>3335</v>
      </c>
      <c r="H10" s="14">
        <f>+'652 Parks'!H10</f>
        <v>4303.75</v>
      </c>
      <c r="I10" s="14">
        <f>+'652 Parks'!I10</f>
        <v>3720</v>
      </c>
      <c r="J10" s="44">
        <f>+'652 Parks'!J10</f>
        <v>6000</v>
      </c>
      <c r="K10" s="14">
        <f>+'652 Parks'!K10</f>
        <v>3720</v>
      </c>
      <c r="L10" s="44">
        <f>+'652 Parks'!L10</f>
        <v>6000</v>
      </c>
      <c r="M10" s="44">
        <f>+'652 Parks'!M10</f>
        <v>0</v>
      </c>
    </row>
    <row r="11" spans="1:19" x14ac:dyDescent="0.2">
      <c r="A11" s="12">
        <v>5132</v>
      </c>
      <c r="B11" s="69" t="s">
        <v>186</v>
      </c>
      <c r="C11" s="140">
        <f>+'192 Public Bldgs'!C10+'422 Maintenance'!C10+'652 Parks'!C11</f>
        <v>12576.779999999999</v>
      </c>
      <c r="D11" s="14">
        <f>+'192 Public Bldgs'!D10+'422 Maintenance'!D10+'652 Parks'!D11</f>
        <v>11853.079999999998</v>
      </c>
      <c r="E11" s="14">
        <f>+'192 Public Bldgs'!E10+'422 Maintenance'!E10+'652 Parks'!E11</f>
        <v>7958.420000000001</v>
      </c>
      <c r="F11" s="14">
        <f>+'192 Public Bldgs'!F10+'422 Maintenance'!F10+'652 Parks'!F11</f>
        <v>7922.45</v>
      </c>
      <c r="G11" s="14">
        <f>+'192 Public Bldgs'!G10+'422 Maintenance'!G10+'652 Parks'!G11</f>
        <v>9747.4700000000012</v>
      </c>
      <c r="H11" s="14">
        <f>+'192 Public Bldgs'!H10+'422 Maintenance'!H10+'652 Parks'!H11</f>
        <v>8182.2099999999991</v>
      </c>
      <c r="I11" s="14">
        <f>+'192 Public Bldgs'!I10+'422 Maintenance'!I10+'652 Parks'!I11</f>
        <v>14364.1</v>
      </c>
      <c r="J11" s="44">
        <f>+'192 Public Bldgs'!J10+'422 Maintenance'!J10+'652 Parks'!J11</f>
        <v>15000</v>
      </c>
      <c r="K11" s="14">
        <f>+'192 Public Bldgs'!K10+'422 Maintenance'!K10+'652 Parks'!K11</f>
        <v>8383.2199999999993</v>
      </c>
      <c r="L11" s="44">
        <f>+'192 Public Bldgs'!L10+'422 Maintenance'!L10+'652 Parks'!L11</f>
        <v>18000</v>
      </c>
      <c r="M11" s="44">
        <f>+'192 Public Bldgs'!M10+'422 Maintenance'!M10+'652 Parks'!M11</f>
        <v>0</v>
      </c>
    </row>
    <row r="12" spans="1:19" x14ac:dyDescent="0.2">
      <c r="A12" s="12">
        <v>5142</v>
      </c>
      <c r="B12" s="69" t="s">
        <v>159</v>
      </c>
      <c r="C12" s="140">
        <f>+'422 Maintenance'!C11+'652 Parks'!C12+'192 Public Bldgs'!C11</f>
        <v>5871.95</v>
      </c>
      <c r="D12" s="14">
        <f>+'422 Maintenance'!D11+'652 Parks'!D12+'192 Public Bldgs'!D11</f>
        <v>6242.7900000000009</v>
      </c>
      <c r="E12" s="14">
        <f>+'422 Maintenance'!E11+'652 Parks'!E12+'192 Public Bldgs'!E11</f>
        <v>6305.43</v>
      </c>
      <c r="F12" s="14">
        <f>+'422 Maintenance'!F11+'652 Parks'!F12+'192 Public Bldgs'!F11</f>
        <v>6277.31</v>
      </c>
      <c r="G12" s="14">
        <f>+'422 Maintenance'!G11+'652 Parks'!G12+'192 Public Bldgs'!G11</f>
        <v>7745.86</v>
      </c>
      <c r="H12" s="14">
        <f>+'422 Maintenance'!H11+'652 Parks'!H12+'192 Public Bldgs'!H11</f>
        <v>10630.82</v>
      </c>
      <c r="I12" s="14">
        <f>+'422 Maintenance'!I11+'652 Parks'!I12+'192 Public Bldgs'!I11</f>
        <v>11139.42</v>
      </c>
      <c r="J12" s="44">
        <f>+'422 Maintenance'!J11+'652 Parks'!J12+'192 Public Bldgs'!J11</f>
        <v>12838</v>
      </c>
      <c r="K12" s="14">
        <f>+'422 Maintenance'!K11+'652 Parks'!K12+'192 Public Bldgs'!K11</f>
        <v>8033.13</v>
      </c>
      <c r="L12" s="44">
        <f>+'422 Maintenance'!L11+'652 Parks'!L12+'192 Public Bldgs'!L11</f>
        <v>15250</v>
      </c>
      <c r="M12" s="44">
        <f>+'422 Maintenance'!M11+'652 Parks'!M12+'192 Public Bldgs'!M11</f>
        <v>0</v>
      </c>
    </row>
    <row r="13" spans="1:19" x14ac:dyDescent="0.2">
      <c r="A13" s="12">
        <v>5144</v>
      </c>
      <c r="B13" s="69" t="s">
        <v>152</v>
      </c>
      <c r="C13" s="140">
        <f>+'422 Maintenance'!C12</f>
        <v>2600</v>
      </c>
      <c r="D13" s="14">
        <f>+'422 Maintenance'!D12</f>
        <v>3750</v>
      </c>
      <c r="E13" s="14">
        <f>+'422 Maintenance'!E12</f>
        <v>3000</v>
      </c>
      <c r="F13" s="14">
        <f>+'422 Maintenance'!F12</f>
        <v>2200</v>
      </c>
      <c r="G13" s="14">
        <f>+'422 Maintenance'!G12</f>
        <v>4140</v>
      </c>
      <c r="H13" s="14">
        <f>+'422 Maintenance'!H12</f>
        <v>3620</v>
      </c>
      <c r="I13" s="14">
        <f>+'422 Maintenance'!I12</f>
        <v>3640</v>
      </c>
      <c r="J13" s="44">
        <f>+'422 Maintenance'!J12</f>
        <v>3500</v>
      </c>
      <c r="K13" s="14">
        <f>+'422 Maintenance'!K12</f>
        <v>2000</v>
      </c>
      <c r="L13" s="44">
        <f>+'422 Maintenance'!L12</f>
        <v>3000</v>
      </c>
      <c r="M13" s="44">
        <f>+'422 Maintenance'!M12</f>
        <v>0</v>
      </c>
    </row>
    <row r="14" spans="1:19" x14ac:dyDescent="0.2">
      <c r="A14" s="12">
        <v>5144</v>
      </c>
      <c r="B14" s="69" t="s">
        <v>597</v>
      </c>
      <c r="C14" s="140">
        <f>+'422 Maintenance'!C13</f>
        <v>600.08000000000004</v>
      </c>
      <c r="D14" s="14">
        <f>+'422 Maintenance'!D13</f>
        <v>842.42</v>
      </c>
      <c r="E14" s="14">
        <f>+'422 Maintenance'!E13</f>
        <v>1200.1600000000001</v>
      </c>
      <c r="F14" s="14">
        <f>+'422 Maintenance'!F13</f>
        <v>1223.24</v>
      </c>
      <c r="G14" s="14">
        <f>+'422 Maintenance'!G13</f>
        <v>1119.3800000000001</v>
      </c>
      <c r="H14" s="14">
        <f>+'422 Maintenance'!H13</f>
        <v>946.28</v>
      </c>
      <c r="I14" s="14">
        <f>+'422 Maintenance'!I13</f>
        <v>1488.66</v>
      </c>
      <c r="J14" s="44">
        <f>+'422 Maintenance'!J13</f>
        <v>1525</v>
      </c>
      <c r="K14" s="14">
        <f>+'422 Maintenance'!K13</f>
        <v>721.25</v>
      </c>
      <c r="L14" s="44">
        <f>+'422 Maintenance'!L13</f>
        <v>1525</v>
      </c>
      <c r="M14" s="44">
        <f>+'422 Maintenance'!M13</f>
        <v>0</v>
      </c>
    </row>
    <row r="15" spans="1:19" x14ac:dyDescent="0.2">
      <c r="A15" s="12">
        <v>5193</v>
      </c>
      <c r="B15" s="69" t="s">
        <v>695</v>
      </c>
      <c r="C15" s="140"/>
      <c r="D15" s="14">
        <f>+'422 Maintenance'!D14</f>
        <v>0</v>
      </c>
      <c r="E15" s="14">
        <f>+'422 Maintenance'!E14</f>
        <v>9799.56</v>
      </c>
      <c r="F15" s="14">
        <f>+'422 Maintenance'!F14</f>
        <v>0</v>
      </c>
      <c r="G15" s="14">
        <f>+'422 Maintenance'!G14</f>
        <v>2150.5</v>
      </c>
      <c r="H15" s="14">
        <f>+'422 Maintenance'!H14</f>
        <v>4111.34</v>
      </c>
      <c r="I15" s="14">
        <f>+'422 Maintenance'!I14</f>
        <v>8358</v>
      </c>
      <c r="J15" s="44">
        <f>+'422 Maintenance'!J14</f>
        <v>5500</v>
      </c>
      <c r="K15" s="14">
        <f>+'422 Maintenance'!K14</f>
        <v>4728</v>
      </c>
      <c r="L15" s="44">
        <f>+'422 Maintenance'!L14</f>
        <v>0</v>
      </c>
      <c r="M15" s="44">
        <f>+'422 Maintenance'!M14</f>
        <v>0</v>
      </c>
    </row>
    <row r="16" spans="1:19" ht="13.5" thickBot="1" x14ac:dyDescent="0.25">
      <c r="A16" s="12">
        <v>5194</v>
      </c>
      <c r="B16" s="69" t="s">
        <v>221</v>
      </c>
      <c r="C16" s="820">
        <f>+'422 Maintenance'!C15</f>
        <v>0</v>
      </c>
      <c r="D16" s="41">
        <f>+'422 Maintenance'!D15</f>
        <v>0</v>
      </c>
      <c r="E16" s="41">
        <f>+'422 Maintenance'!E15</f>
        <v>5134.3</v>
      </c>
      <c r="F16" s="41">
        <f>+'422 Maintenance'!F15</f>
        <v>0</v>
      </c>
      <c r="G16" s="41">
        <f>+'422 Maintenance'!G15</f>
        <v>1553.75</v>
      </c>
      <c r="H16" s="41">
        <f>+'422 Maintenance'!H15</f>
        <v>7000</v>
      </c>
      <c r="I16" s="41">
        <f>+'422 Maintenance'!I15</f>
        <v>3500</v>
      </c>
      <c r="J16" s="201">
        <f>+'422 Maintenance'!J15</f>
        <v>680</v>
      </c>
      <c r="K16" s="41">
        <f>+'422 Maintenance'!K15</f>
        <v>709.2</v>
      </c>
      <c r="L16" s="201">
        <f>+'422 Maintenance'!L15</f>
        <v>0</v>
      </c>
      <c r="M16" s="201">
        <f>+'422 Maintenance'!M15</f>
        <v>0</v>
      </c>
    </row>
    <row r="17" spans="1:13" x14ac:dyDescent="0.2">
      <c r="A17" s="12"/>
      <c r="B17" s="70" t="s">
        <v>125</v>
      </c>
      <c r="C17" s="142">
        <f t="shared" ref="C17:L17" si="0">SUM(C9:C16)</f>
        <v>676710.89</v>
      </c>
      <c r="D17" s="19">
        <f t="shared" si="0"/>
        <v>726866.31999999983</v>
      </c>
      <c r="E17" s="19">
        <f t="shared" ref="E17:J17" si="1">SUM(E9:E16)</f>
        <v>732045.94000000029</v>
      </c>
      <c r="F17" s="19">
        <f t="shared" si="1"/>
        <v>744500.33</v>
      </c>
      <c r="G17" s="19">
        <f t="shared" si="1"/>
        <v>803464.39</v>
      </c>
      <c r="H17" s="19">
        <f t="shared" si="1"/>
        <v>847311.35999999987</v>
      </c>
      <c r="I17" s="19">
        <f t="shared" si="1"/>
        <v>865566.70000000007</v>
      </c>
      <c r="J17" s="38">
        <f t="shared" si="1"/>
        <v>954648</v>
      </c>
      <c r="K17" s="19">
        <f t="shared" si="0"/>
        <v>454363.45999999996</v>
      </c>
      <c r="L17" s="38">
        <f t="shared" si="0"/>
        <v>967583</v>
      </c>
      <c r="M17" s="38">
        <f>+L17</f>
        <v>967583</v>
      </c>
    </row>
    <row r="18" spans="1:13" x14ac:dyDescent="0.2">
      <c r="A18" s="12"/>
      <c r="B18" s="69"/>
      <c r="C18" s="140"/>
      <c r="D18" s="14"/>
      <c r="E18" s="14"/>
      <c r="F18" s="14"/>
      <c r="G18" s="14"/>
      <c r="H18" s="14"/>
      <c r="I18" s="14"/>
      <c r="J18" s="44"/>
      <c r="K18" s="14"/>
      <c r="L18" s="44"/>
      <c r="M18" s="44"/>
    </row>
    <row r="19" spans="1:13" x14ac:dyDescent="0.2">
      <c r="A19" s="12">
        <v>5241</v>
      </c>
      <c r="B19" s="13" t="s">
        <v>873</v>
      </c>
      <c r="C19" s="109">
        <f>+'192 Public Bldgs'!C14</f>
        <v>0</v>
      </c>
      <c r="D19" s="109">
        <f>+'192 Public Bldgs'!D14</f>
        <v>0</v>
      </c>
      <c r="E19" s="109">
        <f>+'192 Public Bldgs'!E14</f>
        <v>2228</v>
      </c>
      <c r="F19" s="109">
        <f>+'192 Public Bldgs'!F14</f>
        <v>2295</v>
      </c>
      <c r="G19" s="109">
        <f>+'192 Public Bldgs'!G14</f>
        <v>2364</v>
      </c>
      <c r="H19" s="109">
        <f>+'192 Public Bldgs'!H14</f>
        <v>2434</v>
      </c>
      <c r="I19" s="109">
        <f>+'192 Public Bldgs'!I14</f>
        <v>2508</v>
      </c>
      <c r="J19" s="46">
        <f>+'192 Public Bldgs'!J14</f>
        <v>3000</v>
      </c>
      <c r="K19" s="46">
        <f>+'192 Public Bldgs'!K14</f>
        <v>2583</v>
      </c>
      <c r="L19" s="46">
        <f>+'192 Public Bldgs'!L14</f>
        <v>3000</v>
      </c>
      <c r="M19" s="44">
        <f>+'192 Public Bldgs'!M14</f>
        <v>0</v>
      </c>
    </row>
    <row r="20" spans="1:13" x14ac:dyDescent="0.2">
      <c r="A20" s="12">
        <v>5242</v>
      </c>
      <c r="B20" s="13" t="s">
        <v>192</v>
      </c>
      <c r="C20" s="109">
        <f>+'192 Public Bldgs'!C15+'422 Maintenance'!C18</f>
        <v>12678.44</v>
      </c>
      <c r="D20" s="109">
        <f>+'192 Public Bldgs'!D15+'422 Maintenance'!D18</f>
        <v>15899.46</v>
      </c>
      <c r="E20" s="109">
        <f>+'192 Public Bldgs'!E15+'422 Maintenance'!E18</f>
        <v>22272.13</v>
      </c>
      <c r="F20" s="109">
        <f>+'192 Public Bldgs'!F15+'422 Maintenance'!F18</f>
        <v>13187.52</v>
      </c>
      <c r="G20" s="109">
        <f>+'192 Public Bldgs'!G15+'422 Maintenance'!G18</f>
        <v>14585.18</v>
      </c>
      <c r="H20" s="109">
        <f>+'192 Public Bldgs'!H15+'422 Maintenance'!H18</f>
        <v>14071.66</v>
      </c>
      <c r="I20" s="109">
        <f>+'192 Public Bldgs'!I15+'422 Maintenance'!I18</f>
        <v>16599.11</v>
      </c>
      <c r="J20" s="46">
        <f>+'192 Public Bldgs'!J15+'422 Maintenance'!J18</f>
        <v>16500</v>
      </c>
      <c r="K20" s="109">
        <f>+'192 Public Bldgs'!K15+'422 Maintenance'!K18</f>
        <v>2880.52</v>
      </c>
      <c r="L20" s="46">
        <f>+'192 Public Bldgs'!L15+'422 Maintenance'!L18</f>
        <v>19500</v>
      </c>
      <c r="M20" s="44">
        <f>+'192 Public Bldgs'!M15+'422 Maintenance'!M18</f>
        <v>0</v>
      </c>
    </row>
    <row r="21" spans="1:13" x14ac:dyDescent="0.2">
      <c r="A21" s="12">
        <v>5243</v>
      </c>
      <c r="B21" s="13" t="s">
        <v>266</v>
      </c>
      <c r="C21" s="14">
        <f>+'192 Public Bldgs'!C16</f>
        <v>15167.36</v>
      </c>
      <c r="D21" s="14">
        <f>+'192 Public Bldgs'!D16</f>
        <v>12103.44</v>
      </c>
      <c r="E21" s="14">
        <f>+'192 Public Bldgs'!E16</f>
        <v>42549.06</v>
      </c>
      <c r="F21" s="14">
        <f>+'192 Public Bldgs'!F16</f>
        <v>23614.560000000001</v>
      </c>
      <c r="G21" s="14">
        <f>+'192 Public Bldgs'!G16</f>
        <v>31462.560000000001</v>
      </c>
      <c r="H21" s="14">
        <f>+'192 Public Bldgs'!H16</f>
        <v>20342.38</v>
      </c>
      <c r="I21" s="14">
        <f>+'192 Public Bldgs'!I16</f>
        <v>33925.94</v>
      </c>
      <c r="J21" s="44">
        <f>+'192 Public Bldgs'!J16</f>
        <v>25000</v>
      </c>
      <c r="K21" s="14">
        <f>+'192 Public Bldgs'!K16</f>
        <v>100</v>
      </c>
      <c r="L21" s="44">
        <f>+'192 Public Bldgs'!L16</f>
        <v>25000</v>
      </c>
      <c r="M21" s="44">
        <f>+'192 Public Bldgs'!M16</f>
        <v>0</v>
      </c>
    </row>
    <row r="22" spans="1:13" x14ac:dyDescent="0.2">
      <c r="A22" s="12">
        <v>5245</v>
      </c>
      <c r="B22" s="13" t="s">
        <v>178</v>
      </c>
      <c r="C22" s="14">
        <f>+'422 Maintenance'!C19</f>
        <v>15640.85</v>
      </c>
      <c r="D22" s="14">
        <f>+'422 Maintenance'!D19</f>
        <v>20923.13</v>
      </c>
      <c r="E22" s="14">
        <f>+'422 Maintenance'!E19</f>
        <v>22296.94</v>
      </c>
      <c r="F22" s="14">
        <f>+'422 Maintenance'!F19</f>
        <v>34754.76</v>
      </c>
      <c r="G22" s="14">
        <f>+'422 Maintenance'!G19</f>
        <v>23394.59</v>
      </c>
      <c r="H22" s="14">
        <f>+'422 Maintenance'!H19</f>
        <v>24713.51</v>
      </c>
      <c r="I22" s="14">
        <f>+'422 Maintenance'!I19</f>
        <v>17661.330000000002</v>
      </c>
      <c r="J22" s="44">
        <f>+'422 Maintenance'!J19</f>
        <v>30000</v>
      </c>
      <c r="K22" s="14">
        <f>+'422 Maintenance'!K19</f>
        <v>13174.14</v>
      </c>
      <c r="L22" s="44">
        <f>+'422 Maintenance'!L19</f>
        <v>30000</v>
      </c>
      <c r="M22" s="44">
        <f>+'422 Maintenance'!M19</f>
        <v>0</v>
      </c>
    </row>
    <row r="23" spans="1:13" x14ac:dyDescent="0.2">
      <c r="A23" s="12">
        <v>5247</v>
      </c>
      <c r="B23" s="13" t="s">
        <v>1162</v>
      </c>
      <c r="C23" s="14">
        <f>+'422 Maintenance'!C20</f>
        <v>0</v>
      </c>
      <c r="D23" s="14">
        <f>+'422 Maintenance'!D20</f>
        <v>0</v>
      </c>
      <c r="E23" s="14">
        <f>+'422 Maintenance'!E20</f>
        <v>503.29</v>
      </c>
      <c r="F23" s="14">
        <f>+'422 Maintenance'!F20</f>
        <v>88</v>
      </c>
      <c r="G23" s="14">
        <f>+'422 Maintenance'!G20</f>
        <v>0</v>
      </c>
      <c r="H23" s="14">
        <f>+'422 Maintenance'!H20</f>
        <v>264</v>
      </c>
      <c r="I23" s="14">
        <f>+'422 Maintenance'!I20</f>
        <v>0</v>
      </c>
      <c r="J23" s="44">
        <f>+'422 Maintenance'!J20</f>
        <v>4200</v>
      </c>
      <c r="K23" s="14">
        <f>+'422 Maintenance'!K20</f>
        <v>0</v>
      </c>
      <c r="L23" s="44">
        <f>+'422 Maintenance'!L20</f>
        <v>4200</v>
      </c>
      <c r="M23" s="44">
        <f>+'422 Maintenance'!M20</f>
        <v>0</v>
      </c>
    </row>
    <row r="24" spans="1:13" x14ac:dyDescent="0.2">
      <c r="A24" s="12">
        <v>5251</v>
      </c>
      <c r="B24" s="13" t="s">
        <v>162</v>
      </c>
      <c r="C24" s="14">
        <f>+'192 Public Bldgs'!C17+'422 Maintenance'!C21</f>
        <v>2981.07</v>
      </c>
      <c r="D24" s="14">
        <f>+'192 Public Bldgs'!D17+'422 Maintenance'!D21</f>
        <v>3552.43</v>
      </c>
      <c r="E24" s="14">
        <f>+'192 Public Bldgs'!E17+'422 Maintenance'!E21</f>
        <v>5595.84</v>
      </c>
      <c r="F24" s="14">
        <f>+'192 Public Bldgs'!F17+'422 Maintenance'!F21</f>
        <v>5335.59</v>
      </c>
      <c r="G24" s="14">
        <f>+'192 Public Bldgs'!G17+'422 Maintenance'!G21</f>
        <v>8776.69</v>
      </c>
      <c r="H24" s="14">
        <f>+'192 Public Bldgs'!H17+'422 Maintenance'!H21</f>
        <v>6110.8</v>
      </c>
      <c r="I24" s="14">
        <f>+'192 Public Bldgs'!I17+'422 Maintenance'!I21</f>
        <v>7246.8899999999994</v>
      </c>
      <c r="J24" s="44">
        <f>+'192 Public Bldgs'!J17+'422 Maintenance'!J21</f>
        <v>5300</v>
      </c>
      <c r="K24" s="14">
        <f>+'192 Public Bldgs'!K17+'422 Maintenance'!K21</f>
        <v>1533.68</v>
      </c>
      <c r="L24" s="44">
        <f>+'192 Public Bldgs'!L17+'422 Maintenance'!L21</f>
        <v>5300</v>
      </c>
      <c r="M24" s="44">
        <f>+'192 Public Bldgs'!M17+'422 Maintenance'!M21</f>
        <v>0</v>
      </c>
    </row>
    <row r="25" spans="1:13" x14ac:dyDescent="0.2">
      <c r="A25" s="12">
        <v>5277</v>
      </c>
      <c r="B25" s="13" t="s">
        <v>201</v>
      </c>
      <c r="C25" s="14">
        <f>+'422 Maintenance'!C22</f>
        <v>0</v>
      </c>
      <c r="D25" s="14">
        <f>+'422 Maintenance'!D22</f>
        <v>0</v>
      </c>
      <c r="E25" s="14">
        <f>+'422 Maintenance'!E22</f>
        <v>0</v>
      </c>
      <c r="F25" s="14">
        <f>+'422 Maintenance'!F22</f>
        <v>0</v>
      </c>
      <c r="G25" s="14">
        <f>+'422 Maintenance'!G22</f>
        <v>0</v>
      </c>
      <c r="H25" s="14">
        <f>+'422 Maintenance'!H22</f>
        <v>0</v>
      </c>
      <c r="I25" s="14">
        <f>+'422 Maintenance'!I22</f>
        <v>0</v>
      </c>
      <c r="J25" s="44">
        <f>+'422 Maintenance'!J22</f>
        <v>0</v>
      </c>
      <c r="K25" s="14">
        <f>+'422 Maintenance'!K22</f>
        <v>0</v>
      </c>
      <c r="L25" s="44">
        <f>+'422 Maintenance'!L22</f>
        <v>0</v>
      </c>
      <c r="M25" s="44">
        <f>+'422 Maintenance'!M22</f>
        <v>0</v>
      </c>
    </row>
    <row r="26" spans="1:13" x14ac:dyDescent="0.2">
      <c r="A26" s="12">
        <v>5278</v>
      </c>
      <c r="B26" s="13" t="s">
        <v>1160</v>
      </c>
      <c r="C26" s="14">
        <f>+'422 Maintenance'!C23</f>
        <v>6254.36</v>
      </c>
      <c r="D26" s="14">
        <f>+'422 Maintenance'!D23</f>
        <v>7210.2</v>
      </c>
      <c r="E26" s="14">
        <f>+'422 Maintenance'!E23</f>
        <v>7337.82</v>
      </c>
      <c r="F26" s="14">
        <f>+'422 Maintenance'!F23</f>
        <v>9576.67</v>
      </c>
      <c r="G26" s="14">
        <f>+'422 Maintenance'!G23</f>
        <v>11297.29</v>
      </c>
      <c r="H26" s="14">
        <f>+'422 Maintenance'!H23</f>
        <v>10913.81</v>
      </c>
      <c r="I26" s="14">
        <f>+'422 Maintenance'!I23</f>
        <v>12262.49</v>
      </c>
      <c r="J26" s="44">
        <f>+'422 Maintenance'!J23</f>
        <v>13440</v>
      </c>
      <c r="K26" s="14">
        <f>+'422 Maintenance'!K23</f>
        <v>9959.7000000000007</v>
      </c>
      <c r="L26" s="44">
        <f>+'422 Maintenance'!L23</f>
        <v>0</v>
      </c>
      <c r="M26" s="44">
        <f>+'422 Maintenance'!M23</f>
        <v>0</v>
      </c>
    </row>
    <row r="27" spans="1:13" x14ac:dyDescent="0.2">
      <c r="A27" s="12">
        <v>5310</v>
      </c>
      <c r="B27" s="13" t="s">
        <v>199</v>
      </c>
      <c r="C27" s="14">
        <f>+'422 Maintenance'!C24</f>
        <v>1659.5</v>
      </c>
      <c r="D27" s="14">
        <f>+'422 Maintenance'!D24</f>
        <v>1863</v>
      </c>
      <c r="E27" s="14">
        <f>+'422 Maintenance'!E24</f>
        <v>1535</v>
      </c>
      <c r="F27" s="14">
        <f>+'422 Maintenance'!F24</f>
        <v>1775.1</v>
      </c>
      <c r="G27" s="14">
        <f>+'422 Maintenance'!G24</f>
        <v>2491</v>
      </c>
      <c r="H27" s="14">
        <f>+'422 Maintenance'!H24</f>
        <v>10389.34</v>
      </c>
      <c r="I27" s="14">
        <f>+'422 Maintenance'!I24</f>
        <v>5775</v>
      </c>
      <c r="J27" s="44">
        <f>+'422 Maintenance'!J24</f>
        <v>3500</v>
      </c>
      <c r="K27" s="14">
        <f>+'422 Maintenance'!K24</f>
        <v>2656</v>
      </c>
      <c r="L27" s="44">
        <f>+'422 Maintenance'!L24</f>
        <v>5000</v>
      </c>
      <c r="M27" s="44">
        <f>+'422 Maintenance'!M24</f>
        <v>0</v>
      </c>
    </row>
    <row r="28" spans="1:13" x14ac:dyDescent="0.2">
      <c r="A28" s="12">
        <v>5314</v>
      </c>
      <c r="B28" s="13" t="s">
        <v>134</v>
      </c>
      <c r="C28" s="14">
        <f>+'422 Maintenance'!C25</f>
        <v>35</v>
      </c>
      <c r="D28" s="14">
        <f>+'422 Maintenance'!D25</f>
        <v>65</v>
      </c>
      <c r="E28" s="14">
        <f>+'422 Maintenance'!E25</f>
        <v>80</v>
      </c>
      <c r="F28" s="14">
        <f>+'422 Maintenance'!F25</f>
        <v>100</v>
      </c>
      <c r="G28" s="14">
        <f>+'422 Maintenance'!G25</f>
        <v>2040</v>
      </c>
      <c r="H28" s="14">
        <f>+'422 Maintenance'!H25</f>
        <v>40</v>
      </c>
      <c r="I28" s="14">
        <f>+'422 Maintenance'!I25</f>
        <v>210</v>
      </c>
      <c r="J28" s="44">
        <f>+'422 Maintenance'!J25</f>
        <v>200</v>
      </c>
      <c r="K28" s="14">
        <f>+'422 Maintenance'!K25</f>
        <v>100</v>
      </c>
      <c r="L28" s="44">
        <f>+'422 Maintenance'!L25</f>
        <v>200</v>
      </c>
      <c r="M28" s="44">
        <f>+'422 Maintenance'!M25</f>
        <v>0</v>
      </c>
    </row>
    <row r="29" spans="1:13" x14ac:dyDescent="0.2">
      <c r="A29" s="12">
        <v>5315</v>
      </c>
      <c r="B29" s="13" t="s">
        <v>127</v>
      </c>
      <c r="C29" s="14">
        <f>+'422 Maintenance'!C26</f>
        <v>24208.71</v>
      </c>
      <c r="D29" s="14">
        <f>+'422 Maintenance'!D26</f>
        <v>21600.63</v>
      </c>
      <c r="E29" s="14">
        <f>+'422 Maintenance'!E26</f>
        <v>27572.84</v>
      </c>
      <c r="F29" s="14">
        <f>+'422 Maintenance'!F26</f>
        <v>29246.78</v>
      </c>
      <c r="G29" s="14">
        <f>+'422 Maintenance'!G26</f>
        <v>20041.039999999997</v>
      </c>
      <c r="H29" s="14">
        <f>+'422 Maintenance'!H26</f>
        <v>14179.400000000001</v>
      </c>
      <c r="I29" s="14">
        <f>+'422 Maintenance'!I26</f>
        <v>22930.35</v>
      </c>
      <c r="J29" s="44">
        <f>+'422 Maintenance'!J26</f>
        <v>18000</v>
      </c>
      <c r="K29" s="14">
        <f>+'422 Maintenance'!K26</f>
        <v>5975.69</v>
      </c>
      <c r="L29" s="44">
        <f>+'422 Maintenance'!L26</f>
        <v>18000</v>
      </c>
      <c r="M29" s="44">
        <f>+'422 Maintenance'!M26</f>
        <v>0</v>
      </c>
    </row>
    <row r="30" spans="1:13" x14ac:dyDescent="0.2">
      <c r="A30" s="12">
        <v>5320</v>
      </c>
      <c r="B30" s="13" t="s">
        <v>1257</v>
      </c>
      <c r="C30" s="14"/>
      <c r="D30" s="14"/>
      <c r="E30" s="14"/>
      <c r="F30" s="14"/>
      <c r="G30" s="14"/>
      <c r="H30" s="14"/>
      <c r="I30" s="14">
        <f>+'422 Maintenance'!I27</f>
        <v>19083.580000000002</v>
      </c>
      <c r="J30" s="44">
        <f>+'422 Maintenance'!J27</f>
        <v>20000</v>
      </c>
      <c r="K30" s="44">
        <f>+'422 Maintenance'!K27</f>
        <v>16987.11</v>
      </c>
      <c r="L30" s="44">
        <f>+'422 Maintenance'!L27</f>
        <v>22000</v>
      </c>
      <c r="M30" s="44"/>
    </row>
    <row r="31" spans="1:13" x14ac:dyDescent="0.2">
      <c r="A31" s="12">
        <v>5341</v>
      </c>
      <c r="B31" s="13" t="s">
        <v>1161</v>
      </c>
      <c r="C31" s="14">
        <f>+'422 Maintenance'!C28</f>
        <v>3078.49</v>
      </c>
      <c r="D31" s="14">
        <f>+'422 Maintenance'!D28</f>
        <v>3210.87</v>
      </c>
      <c r="E31" s="14">
        <f>+'422 Maintenance'!E28</f>
        <v>3419.12</v>
      </c>
      <c r="F31" s="14">
        <f>+'422 Maintenance'!F28</f>
        <v>3544.05</v>
      </c>
      <c r="G31" s="14">
        <f>+'422 Maintenance'!G28</f>
        <v>3468.11</v>
      </c>
      <c r="H31" s="14">
        <f>+'422 Maintenance'!H28</f>
        <v>1848.31</v>
      </c>
      <c r="I31" s="14">
        <f>+'422 Maintenance'!I28</f>
        <v>1750.2</v>
      </c>
      <c r="J31" s="44">
        <f>+'422 Maintenance'!J28</f>
        <v>3500</v>
      </c>
      <c r="K31" s="14">
        <f>+'422 Maintenance'!K28</f>
        <v>734.25</v>
      </c>
      <c r="L31" s="44">
        <f>+'422 Maintenance'!L28</f>
        <v>3500</v>
      </c>
      <c r="M31" s="44">
        <f>+'422 Maintenance'!M28</f>
        <v>0</v>
      </c>
    </row>
    <row r="32" spans="1:13" x14ac:dyDescent="0.2">
      <c r="A32" s="12">
        <v>5344</v>
      </c>
      <c r="B32" s="13" t="s">
        <v>137</v>
      </c>
      <c r="C32" s="14">
        <f>+'422 Maintenance'!C29</f>
        <v>60.4</v>
      </c>
      <c r="D32" s="14">
        <f>+'422 Maintenance'!D29</f>
        <v>78.47</v>
      </c>
      <c r="E32" s="14">
        <f>+'422 Maintenance'!E29</f>
        <v>55</v>
      </c>
      <c r="F32" s="14">
        <f>+'422 Maintenance'!F29</f>
        <v>28.15</v>
      </c>
      <c r="G32" s="14">
        <f>+'422 Maintenance'!G29</f>
        <v>20.82</v>
      </c>
      <c r="H32" s="14">
        <f>+'422 Maintenance'!H29</f>
        <v>58.25</v>
      </c>
      <c r="I32" s="14">
        <f>+'422 Maintenance'!I29</f>
        <v>31.22</v>
      </c>
      <c r="J32" s="44">
        <f>+'422 Maintenance'!J29</f>
        <v>100</v>
      </c>
      <c r="K32" s="14">
        <f>+'422 Maintenance'!K29</f>
        <v>0</v>
      </c>
      <c r="L32" s="44">
        <f>+'422 Maintenance'!L29</f>
        <v>100</v>
      </c>
      <c r="M32" s="44">
        <f>+'422 Maintenance'!M29</f>
        <v>0</v>
      </c>
    </row>
    <row r="33" spans="1:13" x14ac:dyDescent="0.2">
      <c r="A33" s="12">
        <v>5345</v>
      </c>
      <c r="B33" s="13" t="s">
        <v>138</v>
      </c>
      <c r="C33" s="14">
        <f>+'422 Maintenance'!C30</f>
        <v>50.81</v>
      </c>
      <c r="D33" s="14">
        <f>+'422 Maintenance'!D30</f>
        <v>237.71</v>
      </c>
      <c r="E33" s="14">
        <f>+'422 Maintenance'!E30</f>
        <v>835.56</v>
      </c>
      <c r="F33" s="14">
        <f>+'422 Maintenance'!F30</f>
        <v>1284.3399999999999</v>
      </c>
      <c r="G33" s="14">
        <f>+'422 Maintenance'!G30</f>
        <v>1533.36</v>
      </c>
      <c r="H33" s="14">
        <f>+'422 Maintenance'!H30</f>
        <v>1075.22</v>
      </c>
      <c r="I33" s="14">
        <f>+'422 Maintenance'!I30</f>
        <v>3390.59</v>
      </c>
      <c r="J33" s="44">
        <f>+'422 Maintenance'!J30</f>
        <v>1500</v>
      </c>
      <c r="K33" s="14">
        <f>+'422 Maintenance'!K30</f>
        <v>1473.04</v>
      </c>
      <c r="L33" s="44">
        <f>+'422 Maintenance'!L30</f>
        <v>2500</v>
      </c>
      <c r="M33" s="44">
        <f>+'422 Maintenance'!M30</f>
        <v>0</v>
      </c>
    </row>
    <row r="34" spans="1:13" x14ac:dyDescent="0.2">
      <c r="A34" s="12">
        <v>5420</v>
      </c>
      <c r="B34" s="13" t="s">
        <v>139</v>
      </c>
      <c r="C34" s="19">
        <f>+'422 Maintenance'!C31</f>
        <v>965.81</v>
      </c>
      <c r="D34" s="19">
        <f>+'422 Maintenance'!D31</f>
        <v>694.26</v>
      </c>
      <c r="E34" s="19">
        <f>+'422 Maintenance'!E31</f>
        <v>1611.93</v>
      </c>
      <c r="F34" s="19">
        <f>+'422 Maintenance'!F31</f>
        <v>1141.1500000000001</v>
      </c>
      <c r="G34" s="19">
        <f>+'422 Maintenance'!G31</f>
        <v>953.7</v>
      </c>
      <c r="H34" s="19">
        <f>+'422 Maintenance'!H31</f>
        <v>1938.24</v>
      </c>
      <c r="I34" s="19">
        <f>+'422 Maintenance'!I31</f>
        <v>1793.4</v>
      </c>
      <c r="J34" s="38">
        <f>+'422 Maintenance'!J31</f>
        <v>1500</v>
      </c>
      <c r="K34" s="19">
        <f>+'422 Maintenance'!K31</f>
        <v>217.09</v>
      </c>
      <c r="L34" s="38">
        <f>+'422 Maintenance'!L31</f>
        <v>1750</v>
      </c>
      <c r="M34" s="38">
        <f>+'422 Maintenance'!M31</f>
        <v>0</v>
      </c>
    </row>
    <row r="35" spans="1:13" x14ac:dyDescent="0.2">
      <c r="A35" s="12">
        <v>5430</v>
      </c>
      <c r="B35" s="13" t="s">
        <v>369</v>
      </c>
      <c r="C35" s="14">
        <f>+'192 Public Bldgs'!C18+'422 Maintenance'!C32</f>
        <v>2626.15</v>
      </c>
      <c r="D35" s="14">
        <f>+'192 Public Bldgs'!D18+'422 Maintenance'!D32</f>
        <v>2970.4399999999996</v>
      </c>
      <c r="E35" s="14">
        <f>+'192 Public Bldgs'!E18+'422 Maintenance'!E32</f>
        <v>1967.79</v>
      </c>
      <c r="F35" s="14">
        <f>+'192 Public Bldgs'!F18+'422 Maintenance'!F32</f>
        <v>2444.42</v>
      </c>
      <c r="G35" s="14">
        <f>+'192 Public Bldgs'!G18+'422 Maintenance'!G32</f>
        <v>6742.5399999999991</v>
      </c>
      <c r="H35" s="14">
        <f>+'192 Public Bldgs'!H18+'422 Maintenance'!H32</f>
        <v>3466.7300000000005</v>
      </c>
      <c r="I35" s="14">
        <f>+'192 Public Bldgs'!I18+'422 Maintenance'!I32</f>
        <v>2579.1600000000003</v>
      </c>
      <c r="J35" s="44">
        <f>+'192 Public Bldgs'!J18+'422 Maintenance'!J32</f>
        <v>5500</v>
      </c>
      <c r="K35" s="14">
        <f>+'192 Public Bldgs'!K18+'422 Maintenance'!K32</f>
        <v>2344.67</v>
      </c>
      <c r="L35" s="44">
        <f>+'192 Public Bldgs'!L18+'422 Maintenance'!L32</f>
        <v>6500</v>
      </c>
      <c r="M35" s="44">
        <f>+'192 Public Bldgs'!M18+'422 Maintenance'!M32</f>
        <v>0</v>
      </c>
    </row>
    <row r="36" spans="1:13" x14ac:dyDescent="0.2">
      <c r="A36" s="12">
        <v>5432</v>
      </c>
      <c r="B36" s="13" t="s">
        <v>194</v>
      </c>
      <c r="C36" s="14">
        <f>+'422 Maintenance'!C33</f>
        <v>37.119999999999997</v>
      </c>
      <c r="D36" s="14">
        <f>+'422 Maintenance'!D33</f>
        <v>13.95</v>
      </c>
      <c r="E36" s="14">
        <f>+'422 Maintenance'!E33</f>
        <v>0</v>
      </c>
      <c r="F36" s="14">
        <f>+'422 Maintenance'!F33</f>
        <v>55.85</v>
      </c>
      <c r="G36" s="14">
        <f>+'422 Maintenance'!G33</f>
        <v>0</v>
      </c>
      <c r="H36" s="14">
        <f>+'422 Maintenance'!H33</f>
        <v>0</v>
      </c>
      <c r="I36" s="14">
        <f>+'422 Maintenance'!I33</f>
        <v>0</v>
      </c>
      <c r="J36" s="44">
        <f>+'422 Maintenance'!J33</f>
        <v>0</v>
      </c>
      <c r="K36" s="14">
        <f>+'422 Maintenance'!K33</f>
        <v>0</v>
      </c>
      <c r="L36" s="44">
        <f>+'422 Maintenance'!L33</f>
        <v>0</v>
      </c>
      <c r="M36" s="44">
        <f>+'422 Maintenance'!M33</f>
        <v>0</v>
      </c>
    </row>
    <row r="37" spans="1:13" x14ac:dyDescent="0.2">
      <c r="A37" s="12">
        <v>5435</v>
      </c>
      <c r="B37" s="13" t="s">
        <v>195</v>
      </c>
      <c r="C37" s="14">
        <f>+'422 Maintenance'!C34</f>
        <v>2223.06</v>
      </c>
      <c r="D37" s="14">
        <f>+'422 Maintenance'!D34</f>
        <v>1519.3</v>
      </c>
      <c r="E37" s="14">
        <f>+'422 Maintenance'!E34</f>
        <v>2230.3200000000002</v>
      </c>
      <c r="F37" s="14">
        <f>+'422 Maintenance'!F34</f>
        <v>3011.96</v>
      </c>
      <c r="G37" s="14">
        <f>+'422 Maintenance'!G34</f>
        <v>2113.88</v>
      </c>
      <c r="H37" s="14">
        <f>+'422 Maintenance'!H34</f>
        <v>6885.49</v>
      </c>
      <c r="I37" s="14">
        <f>+'422 Maintenance'!I34</f>
        <v>3971.26</v>
      </c>
      <c r="J37" s="44">
        <f>+'422 Maintenance'!J34</f>
        <v>4000</v>
      </c>
      <c r="K37" s="14">
        <f>+'422 Maintenance'!K34</f>
        <v>4787.4399999999996</v>
      </c>
      <c r="L37" s="44">
        <f>+'422 Maintenance'!L34</f>
        <v>5000</v>
      </c>
      <c r="M37" s="44">
        <f>+'422 Maintenance'!M34</f>
        <v>0</v>
      </c>
    </row>
    <row r="38" spans="1:13" x14ac:dyDescent="0.2">
      <c r="A38" s="12">
        <v>5440</v>
      </c>
      <c r="B38" s="13" t="s">
        <v>202</v>
      </c>
      <c r="C38" s="14">
        <f>+'422 Maintenance'!C35</f>
        <v>4022.66</v>
      </c>
      <c r="D38" s="14">
        <f>+'422 Maintenance'!D35</f>
        <v>4443.3500000000004</v>
      </c>
      <c r="E38" s="14">
        <f>+'422 Maintenance'!E35</f>
        <v>6122.27</v>
      </c>
      <c r="F38" s="14">
        <f>+'422 Maintenance'!F35</f>
        <v>4464.0600000000004</v>
      </c>
      <c r="G38" s="14">
        <f>+'422 Maintenance'!G35</f>
        <v>2584.31</v>
      </c>
      <c r="H38" s="14">
        <f>+'422 Maintenance'!H35</f>
        <v>8262.68</v>
      </c>
      <c r="I38" s="14">
        <f>+'422 Maintenance'!I35</f>
        <v>5721.25</v>
      </c>
      <c r="J38" s="44">
        <f>+'422 Maintenance'!J35</f>
        <v>6000</v>
      </c>
      <c r="K38" s="14">
        <f>+'422 Maintenance'!K35</f>
        <v>3138.97</v>
      </c>
      <c r="L38" s="44">
        <f>+'422 Maintenance'!L35</f>
        <v>7000</v>
      </c>
      <c r="M38" s="44">
        <f>+'422 Maintenance'!M35</f>
        <v>0</v>
      </c>
    </row>
    <row r="39" spans="1:13" x14ac:dyDescent="0.2">
      <c r="A39" s="12">
        <v>5443</v>
      </c>
      <c r="B39" s="13" t="s">
        <v>196</v>
      </c>
      <c r="C39" s="14">
        <f>+'192 Public Bldgs'!C19+'422 Maintenance'!C36+'652 Parks'!C15</f>
        <v>21800.489999999998</v>
      </c>
      <c r="D39" s="14">
        <f>+'192 Public Bldgs'!D19+'422 Maintenance'!D36+'652 Parks'!D15</f>
        <v>26072.620000000003</v>
      </c>
      <c r="E39" s="14">
        <f>+'192 Public Bldgs'!E19+'422 Maintenance'!E36+'652 Parks'!E15</f>
        <v>25671.309999999998</v>
      </c>
      <c r="F39" s="14">
        <f>+'192 Public Bldgs'!F19+'422 Maintenance'!F36+'652 Parks'!F15</f>
        <v>53738</v>
      </c>
      <c r="G39" s="14">
        <f>+'192 Public Bldgs'!G19+'422 Maintenance'!G36+'652 Parks'!G15</f>
        <v>31883.269999999997</v>
      </c>
      <c r="H39" s="14">
        <f>+'192 Public Bldgs'!H19+'422 Maintenance'!H36+'652 Parks'!H15</f>
        <v>44588.79</v>
      </c>
      <c r="I39" s="14">
        <f>+'192 Public Bldgs'!I19+'422 Maintenance'!I36+'652 Parks'!I15</f>
        <v>38715.33</v>
      </c>
      <c r="J39" s="44">
        <f>+'192 Public Bldgs'!J19+'422 Maintenance'!J36+'652 Parks'!J15</f>
        <v>41000</v>
      </c>
      <c r="K39" s="14">
        <f>+'192 Public Bldgs'!K19+'422 Maintenance'!K36+'652 Parks'!K15</f>
        <v>28031.260000000002</v>
      </c>
      <c r="L39" s="44">
        <f>+'192 Public Bldgs'!L19+'422 Maintenance'!L36+'652 Parks'!L15</f>
        <v>48000</v>
      </c>
      <c r="M39" s="44">
        <f>+'192 Public Bldgs'!M19+'422 Maintenance'!M36+'652 Parks'!M15</f>
        <v>0</v>
      </c>
    </row>
    <row r="40" spans="1:13" x14ac:dyDescent="0.2">
      <c r="A40" s="12">
        <v>5451</v>
      </c>
      <c r="B40" s="13" t="s">
        <v>197</v>
      </c>
      <c r="C40" s="14">
        <f>+'192 Public Bldgs'!C20</f>
        <v>5018.82</v>
      </c>
      <c r="D40" s="14">
        <f>+'192 Public Bldgs'!D20</f>
        <v>5254.01</v>
      </c>
      <c r="E40" s="14">
        <f>+'192 Public Bldgs'!E20</f>
        <v>5220.07</v>
      </c>
      <c r="F40" s="14">
        <f>+'192 Public Bldgs'!F20</f>
        <v>4714.6000000000004</v>
      </c>
      <c r="G40" s="14">
        <f>+'192 Public Bldgs'!G20</f>
        <v>7479.13</v>
      </c>
      <c r="H40" s="14">
        <f>+'192 Public Bldgs'!H20</f>
        <v>7438.02</v>
      </c>
      <c r="I40" s="14">
        <f>+'192 Public Bldgs'!I20</f>
        <v>7961.22</v>
      </c>
      <c r="J40" s="44">
        <f>+'192 Public Bldgs'!J20</f>
        <v>7500</v>
      </c>
      <c r="K40" s="14">
        <f>+'192 Public Bldgs'!K20</f>
        <v>2139.44</v>
      </c>
      <c r="L40" s="44">
        <f>+'192 Public Bldgs'!L20</f>
        <v>8000</v>
      </c>
      <c r="M40" s="44">
        <f>+'192 Public Bldgs'!M20</f>
        <v>0</v>
      </c>
    </row>
    <row r="41" spans="1:13" x14ac:dyDescent="0.2">
      <c r="A41" s="12">
        <v>5460</v>
      </c>
      <c r="B41" s="13" t="s">
        <v>198</v>
      </c>
      <c r="C41" s="14">
        <f>+'652 Parks'!C16</f>
        <v>512</v>
      </c>
      <c r="D41" s="14">
        <f>+'652 Parks'!D16</f>
        <v>2052.3200000000002</v>
      </c>
      <c r="E41" s="14">
        <f>+'652 Parks'!E16</f>
        <v>0</v>
      </c>
      <c r="F41" s="14">
        <f>+'652 Parks'!F16</f>
        <v>40</v>
      </c>
      <c r="G41" s="14">
        <f>+'652 Parks'!G16</f>
        <v>0</v>
      </c>
      <c r="H41" s="14">
        <f>+'652 Parks'!H16</f>
        <v>0</v>
      </c>
      <c r="I41" s="14">
        <f>+'652 Parks'!I16</f>
        <v>0</v>
      </c>
      <c r="J41" s="44">
        <f>+'652 Parks'!J16</f>
        <v>2000</v>
      </c>
      <c r="K41" s="14">
        <f>+'652 Parks'!K16</f>
        <v>0</v>
      </c>
      <c r="L41" s="44">
        <f>+'652 Parks'!L16</f>
        <v>2000</v>
      </c>
      <c r="M41" s="44">
        <f>+'652 Parks'!M16</f>
        <v>0</v>
      </c>
    </row>
    <row r="42" spans="1:13" x14ac:dyDescent="0.2">
      <c r="A42" s="12">
        <v>5481</v>
      </c>
      <c r="B42" s="13" t="s">
        <v>165</v>
      </c>
      <c r="C42" s="14">
        <f>+'422 Maintenance'!C37</f>
        <v>23072.400000000001</v>
      </c>
      <c r="D42" s="14">
        <f>+'422 Maintenance'!D37</f>
        <v>32924.959999999999</v>
      </c>
      <c r="E42" s="14">
        <f>+'422 Maintenance'!E37</f>
        <v>27697.48</v>
      </c>
      <c r="F42" s="14">
        <f>+'422 Maintenance'!F37</f>
        <v>18370.16</v>
      </c>
      <c r="G42" s="14">
        <f>+'422 Maintenance'!G37</f>
        <v>11746.54</v>
      </c>
      <c r="H42" s="14">
        <f>+'422 Maintenance'!H37</f>
        <v>27057.85</v>
      </c>
      <c r="I42" s="14">
        <f>+'422 Maintenance'!I37</f>
        <v>32961.730000000003</v>
      </c>
      <c r="J42" s="44">
        <f>+'422 Maintenance'!J37</f>
        <v>40000</v>
      </c>
      <c r="K42" s="14">
        <f>+'422 Maintenance'!K37</f>
        <v>20622.63</v>
      </c>
      <c r="L42" s="44">
        <f>+'422 Maintenance'!L37</f>
        <v>45000</v>
      </c>
      <c r="M42" s="44">
        <f>+'422 Maintenance'!M37</f>
        <v>0</v>
      </c>
    </row>
    <row r="43" spans="1:13" x14ac:dyDescent="0.2">
      <c r="A43" s="12">
        <v>5482</v>
      </c>
      <c r="B43" s="13" t="s">
        <v>203</v>
      </c>
      <c r="C43" s="14">
        <f>+'422 Maintenance'!C38</f>
        <v>55086.99</v>
      </c>
      <c r="D43" s="14">
        <f>+'422 Maintenance'!D38</f>
        <v>73803.73</v>
      </c>
      <c r="E43" s="14">
        <f>+'422 Maintenance'!E38</f>
        <v>75053.789999999994</v>
      </c>
      <c r="F43" s="14">
        <f>+'422 Maintenance'!F38</f>
        <v>49247.73</v>
      </c>
      <c r="G43" s="14">
        <f>+'422 Maintenance'!G38</f>
        <v>30907.05</v>
      </c>
      <c r="H43" s="14">
        <f>+'422 Maintenance'!H38</f>
        <v>32653.5</v>
      </c>
      <c r="I43" s="14">
        <f>+'422 Maintenance'!I38</f>
        <v>50089.25</v>
      </c>
      <c r="J43" s="44">
        <f>+'422 Maintenance'!J38</f>
        <v>54000</v>
      </c>
      <c r="K43" s="14">
        <f>+'422 Maintenance'!K38</f>
        <v>28825.4</v>
      </c>
      <c r="L43" s="44">
        <f>+'422 Maintenance'!L38</f>
        <v>60000</v>
      </c>
      <c r="M43" s="44">
        <f>+'422 Maintenance'!M38</f>
        <v>0</v>
      </c>
    </row>
    <row r="44" spans="1:13" x14ac:dyDescent="0.2">
      <c r="A44" s="12">
        <v>5484</v>
      </c>
      <c r="B44" s="13" t="s">
        <v>331</v>
      </c>
      <c r="C44" s="14">
        <f>+'422 Maintenance'!C39</f>
        <v>41019.53</v>
      </c>
      <c r="D44" s="14">
        <f>+'422 Maintenance'!D39</f>
        <v>46732</v>
      </c>
      <c r="E44" s="14">
        <f>+'422 Maintenance'!E39</f>
        <v>75705.59</v>
      </c>
      <c r="F44" s="14">
        <f>+'422 Maintenance'!F39</f>
        <v>71319.490000000005</v>
      </c>
      <c r="G44" s="14">
        <f>+'422 Maintenance'!G39</f>
        <v>70335.48</v>
      </c>
      <c r="H44" s="14">
        <f>+'422 Maintenance'!H39</f>
        <v>78729.27</v>
      </c>
      <c r="I44" s="14">
        <f>+'422 Maintenance'!I39</f>
        <v>89573.71</v>
      </c>
      <c r="J44" s="44">
        <f>+'422 Maintenance'!J39</f>
        <v>75000</v>
      </c>
      <c r="K44" s="14">
        <f>+'422 Maintenance'!K39</f>
        <v>34710.980000000003</v>
      </c>
      <c r="L44" s="44">
        <f>+'422 Maintenance'!L39</f>
        <v>80000</v>
      </c>
      <c r="M44" s="44">
        <f>+'422 Maintenance'!M39</f>
        <v>0</v>
      </c>
    </row>
    <row r="45" spans="1:13" x14ac:dyDescent="0.2">
      <c r="A45" s="12">
        <v>5500</v>
      </c>
      <c r="B45" s="13" t="s">
        <v>166</v>
      </c>
      <c r="C45" s="14">
        <f>+'422 Maintenance'!C40</f>
        <v>0</v>
      </c>
      <c r="D45" s="14">
        <f>+'422 Maintenance'!D40</f>
        <v>0</v>
      </c>
      <c r="E45" s="14">
        <f>+'422 Maintenance'!E40</f>
        <v>11.94</v>
      </c>
      <c r="F45" s="14">
        <f>+'422 Maintenance'!F40</f>
        <v>0</v>
      </c>
      <c r="G45" s="14">
        <f>+'422 Maintenance'!G40</f>
        <v>0</v>
      </c>
      <c r="H45" s="14">
        <f>+'422 Maintenance'!H40</f>
        <v>0</v>
      </c>
      <c r="I45" s="14">
        <f>+'422 Maintenance'!I40</f>
        <v>127.13</v>
      </c>
      <c r="J45" s="44">
        <f>+'422 Maintenance'!J40</f>
        <v>150</v>
      </c>
      <c r="K45" s="14">
        <f>+'422 Maintenance'!K40</f>
        <v>0</v>
      </c>
      <c r="L45" s="44">
        <f>+'422 Maintenance'!L40</f>
        <v>150</v>
      </c>
      <c r="M45" s="44">
        <f>+'422 Maintenance'!M40</f>
        <v>0</v>
      </c>
    </row>
    <row r="46" spans="1:13" x14ac:dyDescent="0.2">
      <c r="A46" s="12">
        <v>5530</v>
      </c>
      <c r="B46" s="13" t="s">
        <v>204</v>
      </c>
      <c r="C46" s="14">
        <f>+'422 Maintenance'!C41</f>
        <v>43029.4</v>
      </c>
      <c r="D46" s="14">
        <f>+'422 Maintenance'!D41</f>
        <v>45445.69</v>
      </c>
      <c r="E46" s="14">
        <f>+'422 Maintenance'!E41</f>
        <v>36322.94</v>
      </c>
      <c r="F46" s="14">
        <f>+'422 Maintenance'!F41</f>
        <v>43379.03</v>
      </c>
      <c r="G46" s="14">
        <f>+'422 Maintenance'!G41</f>
        <v>24572.81</v>
      </c>
      <c r="H46" s="14">
        <f>+'422 Maintenance'!H41</f>
        <v>31418.53</v>
      </c>
      <c r="I46" s="14">
        <f>+'422 Maintenance'!I41</f>
        <v>30491.41</v>
      </c>
      <c r="J46" s="44">
        <f>+'422 Maintenance'!J41</f>
        <v>55000</v>
      </c>
      <c r="K46" s="14">
        <f>+'422 Maintenance'!K41</f>
        <v>11365.67</v>
      </c>
      <c r="L46" s="44">
        <f>+'422 Maintenance'!L41</f>
        <v>55000</v>
      </c>
      <c r="M46" s="261">
        <f>+'422 Maintenance'!M41</f>
        <v>0</v>
      </c>
    </row>
    <row r="47" spans="1:13" x14ac:dyDescent="0.2">
      <c r="A47" s="12">
        <v>5534</v>
      </c>
      <c r="B47" s="13" t="s">
        <v>205</v>
      </c>
      <c r="C47" s="14">
        <f>+'422 Maintenance'!C42</f>
        <v>125</v>
      </c>
      <c r="D47" s="14">
        <f>+'422 Maintenance'!D42</f>
        <v>0</v>
      </c>
      <c r="E47" s="14">
        <f>+'422 Maintenance'!E42</f>
        <v>0</v>
      </c>
      <c r="F47" s="14">
        <f>+'422 Maintenance'!F42</f>
        <v>0</v>
      </c>
      <c r="G47" s="14">
        <f>+'422 Maintenance'!G42</f>
        <v>0</v>
      </c>
      <c r="H47" s="14">
        <f>+'422 Maintenance'!H42</f>
        <v>0</v>
      </c>
      <c r="I47" s="14">
        <f>+'422 Maintenance'!I42</f>
        <v>0</v>
      </c>
      <c r="J47" s="44">
        <f>+'422 Maintenance'!J42</f>
        <v>0</v>
      </c>
      <c r="K47" s="14">
        <f>+'422 Maintenance'!K42</f>
        <v>0</v>
      </c>
      <c r="L47" s="44">
        <f>+'422 Maintenance'!L42</f>
        <v>0</v>
      </c>
      <c r="M47" s="44">
        <f>+'422 Maintenance'!M42</f>
        <v>0</v>
      </c>
    </row>
    <row r="48" spans="1:13" x14ac:dyDescent="0.2">
      <c r="A48" s="12">
        <v>5580</v>
      </c>
      <c r="B48" s="13" t="s">
        <v>990</v>
      </c>
      <c r="C48" s="14"/>
      <c r="D48" s="14"/>
      <c r="E48" s="14"/>
      <c r="F48" s="14"/>
      <c r="G48" s="14"/>
      <c r="H48" s="14">
        <f>+'422 Maintenance'!H43</f>
        <v>0</v>
      </c>
      <c r="I48" s="14">
        <f>+'422 Maintenance'!I43</f>
        <v>12646.36</v>
      </c>
      <c r="J48" s="14">
        <f>+'422 Maintenance'!J43</f>
        <v>0</v>
      </c>
      <c r="K48" s="14">
        <f>+'422 Maintenance'!K43</f>
        <v>0</v>
      </c>
      <c r="L48" s="14">
        <f>+'422 Maintenance'!L43</f>
        <v>0</v>
      </c>
      <c r="M48" s="44"/>
    </row>
    <row r="49" spans="1:19" x14ac:dyDescent="0.2">
      <c r="A49" s="12">
        <v>5582</v>
      </c>
      <c r="B49" s="13" t="s">
        <v>168</v>
      </c>
      <c r="C49" s="14">
        <f>+'422 Maintenance'!C44</f>
        <v>2596.34</v>
      </c>
      <c r="D49" s="14">
        <f>+'422 Maintenance'!D44</f>
        <v>2080.9699999999998</v>
      </c>
      <c r="E49" s="14">
        <f>+'422 Maintenance'!E44</f>
        <v>3880.7</v>
      </c>
      <c r="F49" s="14">
        <f>+'422 Maintenance'!F44</f>
        <v>4245.47</v>
      </c>
      <c r="G49" s="14">
        <f>+'422 Maintenance'!G44</f>
        <v>4901.04</v>
      </c>
      <c r="H49" s="14">
        <f>+'422 Maintenance'!H44</f>
        <v>5798.09</v>
      </c>
      <c r="I49" s="14">
        <f>+'422 Maintenance'!I44</f>
        <v>5887.39</v>
      </c>
      <c r="J49" s="44">
        <f>+'422 Maintenance'!J44</f>
        <v>13500</v>
      </c>
      <c r="K49" s="14">
        <f>+'422 Maintenance'!K44</f>
        <v>7669.38</v>
      </c>
      <c r="L49" s="44">
        <f>+'422 Maintenance'!L44</f>
        <v>14000</v>
      </c>
      <c r="M49" s="44">
        <f>+'422 Maintenance'!M44</f>
        <v>0</v>
      </c>
    </row>
    <row r="50" spans="1:19" x14ac:dyDescent="0.2">
      <c r="A50" s="12">
        <v>5588</v>
      </c>
      <c r="B50" s="13" t="s">
        <v>209</v>
      </c>
      <c r="C50" s="14">
        <f>+'422 Maintenance'!C45</f>
        <v>0</v>
      </c>
      <c r="D50" s="14">
        <f>+'422 Maintenance'!D45</f>
        <v>0</v>
      </c>
      <c r="E50" s="14">
        <f>+'422 Maintenance'!E45</f>
        <v>0</v>
      </c>
      <c r="F50" s="14">
        <f>+'422 Maintenance'!F45</f>
        <v>0</v>
      </c>
      <c r="G50" s="14">
        <f>+'422 Maintenance'!G45</f>
        <v>164</v>
      </c>
      <c r="H50" s="14">
        <f>+'422 Maintenance'!H45</f>
        <v>0</v>
      </c>
      <c r="I50" s="14">
        <f>+'422 Maintenance'!I45</f>
        <v>0</v>
      </c>
      <c r="J50" s="44">
        <f>+'422 Maintenance'!J45</f>
        <v>1000</v>
      </c>
      <c r="K50" s="14">
        <f>+'422 Maintenance'!K45</f>
        <v>0</v>
      </c>
      <c r="L50" s="44">
        <f>+'422 Maintenance'!L45</f>
        <v>1000</v>
      </c>
      <c r="M50" s="44">
        <f>+'422 Maintenance'!M45</f>
        <v>0</v>
      </c>
    </row>
    <row r="51" spans="1:19" x14ac:dyDescent="0.2">
      <c r="A51" s="12">
        <v>5710</v>
      </c>
      <c r="B51" s="13" t="s">
        <v>529</v>
      </c>
      <c r="C51" s="19">
        <f>+'422 Maintenance'!C46</f>
        <v>44.78</v>
      </c>
      <c r="D51" s="19">
        <f>+'422 Maintenance'!D46</f>
        <v>22.6</v>
      </c>
      <c r="E51" s="19">
        <f>+'422 Maintenance'!E46</f>
        <v>0</v>
      </c>
      <c r="F51" s="19">
        <f>+'422 Maintenance'!F46</f>
        <v>0</v>
      </c>
      <c r="G51" s="19">
        <f>+'422 Maintenance'!G46</f>
        <v>0</v>
      </c>
      <c r="H51" s="19">
        <f>+'422 Maintenance'!H46</f>
        <v>0</v>
      </c>
      <c r="I51" s="19">
        <f>+'422 Maintenance'!I46</f>
        <v>0</v>
      </c>
      <c r="J51" s="38">
        <f>+'422 Maintenance'!J46</f>
        <v>125</v>
      </c>
      <c r="K51" s="19">
        <f>+'422 Maintenance'!K46</f>
        <v>0</v>
      </c>
      <c r="L51" s="38">
        <f>+'422 Maintenance'!L46</f>
        <v>125</v>
      </c>
      <c r="M51" s="38">
        <f>+'422 Maintenance'!M46</f>
        <v>0</v>
      </c>
    </row>
    <row r="52" spans="1:19" x14ac:dyDescent="0.2">
      <c r="A52" s="12">
        <v>5730</v>
      </c>
      <c r="B52" s="13" t="s">
        <v>267</v>
      </c>
      <c r="C52" s="14">
        <f>+'422 Maintenance'!C47</f>
        <v>361</v>
      </c>
      <c r="D52" s="14">
        <f>+'422 Maintenance'!D47</f>
        <v>233</v>
      </c>
      <c r="E52" s="14">
        <f>+'422 Maintenance'!E47</f>
        <v>381</v>
      </c>
      <c r="F52" s="14">
        <f>+'422 Maintenance'!F47</f>
        <v>381</v>
      </c>
      <c r="G52" s="14">
        <f>+'422 Maintenance'!G47</f>
        <v>356</v>
      </c>
      <c r="H52" s="14">
        <f>+'422 Maintenance'!H47</f>
        <v>125</v>
      </c>
      <c r="I52" s="14">
        <f>+'422 Maintenance'!I47</f>
        <v>125</v>
      </c>
      <c r="J52" s="44">
        <f>+'422 Maintenance'!J47</f>
        <v>500</v>
      </c>
      <c r="K52" s="14">
        <f>+'422 Maintenance'!K47</f>
        <v>0</v>
      </c>
      <c r="L52" s="44">
        <f>+'422 Maintenance'!L47</f>
        <v>500</v>
      </c>
      <c r="M52" s="44">
        <f>+'422 Maintenance'!M47</f>
        <v>0</v>
      </c>
    </row>
    <row r="53" spans="1:19" x14ac:dyDescent="0.2">
      <c r="A53" s="12">
        <v>5783</v>
      </c>
      <c r="B53" s="13" t="s">
        <v>200</v>
      </c>
      <c r="C53" s="14">
        <f>+'422 Maintenance'!C48</f>
        <v>780</v>
      </c>
      <c r="D53" s="14">
        <f>+'422 Maintenance'!D48</f>
        <v>1710</v>
      </c>
      <c r="E53" s="14">
        <f>+'422 Maintenance'!E48</f>
        <v>1440</v>
      </c>
      <c r="F53" s="14">
        <f>+'422 Maintenance'!F48</f>
        <v>724</v>
      </c>
      <c r="G53" s="14">
        <f>+'422 Maintenance'!G48</f>
        <v>567.9</v>
      </c>
      <c r="H53" s="14">
        <f>+'422 Maintenance'!H48</f>
        <v>1328.7</v>
      </c>
      <c r="I53" s="14">
        <f>+'422 Maintenance'!I48</f>
        <v>1056</v>
      </c>
      <c r="J53" s="44">
        <f>+'422 Maintenance'!J48</f>
        <v>1500</v>
      </c>
      <c r="K53" s="14">
        <f>+'422 Maintenance'!K48</f>
        <v>1010.95</v>
      </c>
      <c r="L53" s="44">
        <f>+'422 Maintenance'!L48</f>
        <v>1500</v>
      </c>
      <c r="M53" s="44">
        <f>+'422 Maintenance'!M48</f>
        <v>0</v>
      </c>
    </row>
    <row r="54" spans="1:19" ht="13.5" thickBot="1" x14ac:dyDescent="0.25">
      <c r="A54" s="12"/>
      <c r="B54" s="13"/>
      <c r="C54" s="16"/>
      <c r="D54" s="16"/>
      <c r="E54" s="16"/>
      <c r="F54" s="16"/>
      <c r="G54" s="16"/>
      <c r="H54" s="16"/>
      <c r="I54" s="16"/>
      <c r="J54" s="45"/>
      <c r="K54" s="16"/>
      <c r="L54" s="45"/>
      <c r="M54" s="45"/>
    </row>
    <row r="55" spans="1:19" x14ac:dyDescent="0.2">
      <c r="A55" s="12"/>
      <c r="B55" s="18" t="s">
        <v>442</v>
      </c>
      <c r="C55" s="32">
        <f t="shared" ref="C55:L55" si="2">SUM(C19:C54)</f>
        <v>285136.54000000004</v>
      </c>
      <c r="D55" s="32">
        <f t="shared" si="2"/>
        <v>332717.53999999998</v>
      </c>
      <c r="E55" s="32">
        <f t="shared" si="2"/>
        <v>399597.73000000004</v>
      </c>
      <c r="F55" s="32">
        <f t="shared" si="2"/>
        <v>382107.43999999994</v>
      </c>
      <c r="G55" s="32">
        <f t="shared" si="2"/>
        <v>316782.28999999998</v>
      </c>
      <c r="H55" s="32">
        <f t="shared" si="2"/>
        <v>356131.57000000007</v>
      </c>
      <c r="I55" s="32">
        <f t="shared" si="2"/>
        <v>427074.30000000005</v>
      </c>
      <c r="J55" s="200">
        <f t="shared" ref="J55" si="3">SUM(J19:J54)</f>
        <v>452515</v>
      </c>
      <c r="K55" s="32">
        <f t="shared" si="2"/>
        <v>203021.01000000004</v>
      </c>
      <c r="L55" s="200">
        <f t="shared" si="2"/>
        <v>473825</v>
      </c>
      <c r="M55" s="200">
        <f>+L55</f>
        <v>473825</v>
      </c>
    </row>
    <row r="56" spans="1:19" x14ac:dyDescent="0.2">
      <c r="A56" s="12"/>
      <c r="B56" s="18"/>
      <c r="C56" s="32"/>
      <c r="D56" s="32"/>
      <c r="E56" s="32"/>
      <c r="F56" s="14"/>
      <c r="G56" s="14"/>
      <c r="H56" s="14"/>
      <c r="I56" s="14"/>
      <c r="J56" s="44"/>
      <c r="K56" s="14"/>
      <c r="L56" s="44"/>
      <c r="M56" s="44"/>
    </row>
    <row r="57" spans="1:19" ht="13.5" thickBot="1" x14ac:dyDescent="0.25">
      <c r="A57" s="12">
        <v>5800</v>
      </c>
      <c r="B57" s="13" t="s">
        <v>1176</v>
      </c>
      <c r="C57" s="32"/>
      <c r="D57" s="32"/>
      <c r="E57" s="32"/>
      <c r="F57" s="16"/>
      <c r="G57" s="16"/>
      <c r="H57" s="16"/>
      <c r="I57" s="16">
        <f>+'422 Maintenance'!I51</f>
        <v>21320.41</v>
      </c>
      <c r="J57" s="45">
        <f>+'422 Maintenance'!J51</f>
        <v>24090</v>
      </c>
      <c r="K57" s="45">
        <f>+'422 Maintenance'!K51</f>
        <v>0</v>
      </c>
      <c r="L57" s="45">
        <f>+'422 Maintenance'!L51</f>
        <v>24090</v>
      </c>
      <c r="M57" s="45">
        <f>+'422 Maintenance'!M52</f>
        <v>24090</v>
      </c>
    </row>
    <row r="58" spans="1:19" x14ac:dyDescent="0.2">
      <c r="A58" s="12"/>
      <c r="B58" s="18" t="s">
        <v>131</v>
      </c>
      <c r="C58" s="32"/>
      <c r="D58" s="32"/>
      <c r="E58" s="32"/>
      <c r="F58" s="19"/>
      <c r="G58" s="19"/>
      <c r="H58" s="19"/>
      <c r="I58" s="19">
        <f>+I57</f>
        <v>21320.41</v>
      </c>
      <c r="J58" s="38">
        <f>+J57</f>
        <v>24090</v>
      </c>
      <c r="K58" s="19">
        <f>+K57</f>
        <v>0</v>
      </c>
      <c r="L58" s="38">
        <f>+L57</f>
        <v>24090</v>
      </c>
      <c r="M58" s="38">
        <f>+L58</f>
        <v>24090</v>
      </c>
    </row>
    <row r="59" spans="1:19" x14ac:dyDescent="0.2">
      <c r="A59" s="12"/>
      <c r="B59" s="13"/>
      <c r="C59" s="39"/>
      <c r="D59" s="39"/>
      <c r="E59" s="39"/>
      <c r="F59" s="39"/>
      <c r="G59" s="39"/>
      <c r="H59" s="39"/>
      <c r="I59" s="39"/>
      <c r="J59" s="104"/>
      <c r="K59" s="39"/>
      <c r="L59" s="104"/>
      <c r="M59" s="104"/>
    </row>
    <row r="60" spans="1:19" ht="13.5" thickBot="1" x14ac:dyDescent="0.25">
      <c r="A60" s="21"/>
      <c r="B60" s="22" t="s">
        <v>132</v>
      </c>
      <c r="C60" s="23">
        <f t="shared" ref="C60:H60" si="4">+C55+C17</f>
        <v>961847.43</v>
      </c>
      <c r="D60" s="23">
        <f t="shared" si="4"/>
        <v>1059583.8599999999</v>
      </c>
      <c r="E60" s="23">
        <f t="shared" si="4"/>
        <v>1131643.6700000004</v>
      </c>
      <c r="F60" s="23">
        <f t="shared" si="4"/>
        <v>1126607.77</v>
      </c>
      <c r="G60" s="23">
        <f t="shared" si="4"/>
        <v>1120246.68</v>
      </c>
      <c r="H60" s="23">
        <f t="shared" si="4"/>
        <v>1203442.93</v>
      </c>
      <c r="I60" s="23">
        <f>+I55+I17+I58</f>
        <v>1313961.4099999999</v>
      </c>
      <c r="J60" s="43">
        <f>+J55+J17+J58</f>
        <v>1431253</v>
      </c>
      <c r="K60" s="747">
        <f>+K55+K17+K58</f>
        <v>657384.47</v>
      </c>
      <c r="L60" s="43">
        <f>+L55+L17+L58</f>
        <v>1465498</v>
      </c>
      <c r="M60" s="43">
        <f>+M55+M17+M58</f>
        <v>1465498</v>
      </c>
    </row>
    <row r="61" spans="1:19" ht="16.5" thickTop="1" x14ac:dyDescent="0.25">
      <c r="A61" s="4"/>
      <c r="B61" s="4"/>
      <c r="C61" s="64"/>
      <c r="D61" s="25"/>
      <c r="E61" s="25"/>
      <c r="F61" s="25"/>
      <c r="G61" s="25"/>
      <c r="H61" s="25"/>
      <c r="I61" s="25"/>
      <c r="J61" s="25"/>
      <c r="K61" s="25"/>
      <c r="L61" s="64"/>
      <c r="M61" s="437"/>
      <c r="N61" s="25"/>
      <c r="O61" s="29"/>
      <c r="P61" s="214"/>
      <c r="Q61" s="29"/>
      <c r="R61" s="29"/>
      <c r="S61" s="29"/>
    </row>
    <row r="62" spans="1:19" x14ac:dyDescent="0.2">
      <c r="A62" s="72" t="s">
        <v>864</v>
      </c>
      <c r="B62" s="4"/>
      <c r="C62" s="64"/>
      <c r="D62" s="25"/>
      <c r="E62" s="25"/>
      <c r="F62" s="25"/>
      <c r="G62" s="25"/>
      <c r="H62" s="25"/>
      <c r="I62" s="25"/>
      <c r="J62" s="25"/>
      <c r="K62" s="25"/>
      <c r="L62" s="358">
        <f>+L60-J60</f>
        <v>34245</v>
      </c>
      <c r="M62" s="851">
        <f>ROUND((+L62/J60),4)</f>
        <v>2.3900000000000001E-2</v>
      </c>
      <c r="N62" s="29"/>
      <c r="O62" s="29"/>
      <c r="P62" s="29"/>
      <c r="Q62" s="29"/>
      <c r="R62" s="29"/>
      <c r="S62" s="29"/>
    </row>
    <row r="63" spans="1:19" x14ac:dyDescent="0.2">
      <c r="A63" s="72"/>
      <c r="B63" s="4"/>
      <c r="C63" s="64"/>
      <c r="D63" s="25"/>
      <c r="E63" s="25"/>
      <c r="F63" s="25"/>
      <c r="G63" s="25"/>
      <c r="H63" s="25"/>
      <c r="I63" s="25"/>
      <c r="J63" s="25"/>
      <c r="K63" s="25"/>
      <c r="L63" s="25"/>
      <c r="M63" s="25"/>
      <c r="N63" s="25"/>
      <c r="O63" s="29"/>
      <c r="P63" s="29"/>
      <c r="Q63" s="29"/>
      <c r="R63" s="29"/>
      <c r="S63" s="29"/>
    </row>
    <row r="64" spans="1:19" x14ac:dyDescent="0.2">
      <c r="A64" s="72"/>
      <c r="B64" s="4"/>
      <c r="C64" s="64"/>
      <c r="D64" s="25"/>
      <c r="E64" s="25"/>
      <c r="F64" s="25"/>
      <c r="G64" s="25"/>
      <c r="H64" s="25"/>
      <c r="I64" s="25"/>
      <c r="J64" s="25"/>
      <c r="K64" s="25"/>
      <c r="L64" s="25"/>
      <c r="M64" s="25"/>
      <c r="N64" s="25"/>
      <c r="O64" s="29"/>
      <c r="P64" s="29"/>
      <c r="Q64" s="29"/>
      <c r="R64" s="29"/>
      <c r="S64" s="29"/>
    </row>
    <row r="65" spans="1:20" x14ac:dyDescent="0.2">
      <c r="A65" s="4"/>
      <c r="B65" s="4"/>
      <c r="C65" s="25"/>
      <c r="D65" s="25"/>
      <c r="E65" s="25"/>
      <c r="F65" s="25"/>
      <c r="G65" s="25"/>
      <c r="H65" s="25"/>
      <c r="I65" s="25"/>
      <c r="J65" s="25"/>
      <c r="K65" s="25"/>
      <c r="L65" s="25"/>
      <c r="M65" s="25"/>
      <c r="N65" s="25"/>
      <c r="O65" s="29"/>
      <c r="P65" s="29"/>
      <c r="Q65" s="29"/>
      <c r="R65" s="29"/>
      <c r="S65" s="29"/>
    </row>
    <row r="66" spans="1:20" ht="13.5" thickBot="1" x14ac:dyDescent="0.25">
      <c r="A66" s="4" t="s">
        <v>521</v>
      </c>
      <c r="B66" s="4"/>
      <c r="C66" s="121"/>
      <c r="D66" s="1"/>
      <c r="E66" s="1"/>
      <c r="F66" s="1"/>
      <c r="G66" s="1"/>
      <c r="H66" s="1"/>
      <c r="I66" s="1"/>
      <c r="J66" s="1"/>
      <c r="K66"/>
      <c r="L66" t="s">
        <v>152</v>
      </c>
      <c r="M66" t="s">
        <v>335</v>
      </c>
      <c r="N66" s="254" t="s">
        <v>1357</v>
      </c>
    </row>
    <row r="67" spans="1:20" ht="13.5" thickTop="1" x14ac:dyDescent="0.2">
      <c r="A67" s="162" t="s">
        <v>883</v>
      </c>
      <c r="B67" s="113"/>
      <c r="H67" s="346" t="s">
        <v>84</v>
      </c>
      <c r="I67" s="169" t="s">
        <v>33</v>
      </c>
      <c r="J67" s="182" t="s">
        <v>579</v>
      </c>
      <c r="K67" s="182" t="s">
        <v>578</v>
      </c>
      <c r="L67"/>
      <c r="M67" s="220"/>
      <c r="N67" s="27"/>
      <c r="T67" s="59"/>
    </row>
    <row r="68" spans="1:20" ht="13.5" thickBot="1" x14ac:dyDescent="0.25">
      <c r="A68" s="392" t="s">
        <v>884</v>
      </c>
      <c r="B68" s="115" t="s">
        <v>522</v>
      </c>
      <c r="H68" s="347"/>
      <c r="I68" s="172" t="s">
        <v>575</v>
      </c>
      <c r="J68" s="173" t="s">
        <v>34</v>
      </c>
      <c r="K68" s="173" t="s">
        <v>101</v>
      </c>
      <c r="L68"/>
      <c r="M68" s="87"/>
      <c r="N68" s="28"/>
      <c r="T68" s="59"/>
    </row>
    <row r="69" spans="1:20" ht="13.5" thickTop="1" x14ac:dyDescent="0.2">
      <c r="A69" s="245">
        <v>38021</v>
      </c>
      <c r="B69" s="161" t="s">
        <v>1692</v>
      </c>
      <c r="H69" s="112" t="s">
        <v>1338</v>
      </c>
      <c r="I69" s="181"/>
      <c r="J69" s="25"/>
      <c r="K69" s="359">
        <f>+'NAGE &amp; Non-Union Wages'!L12</f>
        <v>95813</v>
      </c>
      <c r="L69"/>
      <c r="M69" s="245">
        <v>38021</v>
      </c>
      <c r="N69" s="798">
        <v>17</v>
      </c>
      <c r="T69" s="59"/>
    </row>
    <row r="70" spans="1:20" x14ac:dyDescent="0.2">
      <c r="A70" s="245">
        <v>35778</v>
      </c>
      <c r="B70" s="161" t="s">
        <v>1693</v>
      </c>
      <c r="H70" s="112" t="s">
        <v>1330</v>
      </c>
      <c r="I70" s="181">
        <f>+'NAGE &amp; Non-Union Wages'!L8</f>
        <v>28.02</v>
      </c>
      <c r="J70" s="29">
        <v>2090</v>
      </c>
      <c r="K70" s="359">
        <f t="shared" ref="K70:K88" si="5">ROUND((+I70*J70),2)</f>
        <v>58561.8</v>
      </c>
      <c r="L70" s="130">
        <v>900</v>
      </c>
      <c r="M70" s="245">
        <v>35778</v>
      </c>
      <c r="N70" s="798">
        <v>23</v>
      </c>
      <c r="T70" s="59"/>
    </row>
    <row r="71" spans="1:20" x14ac:dyDescent="0.2">
      <c r="A71" s="245">
        <v>43382</v>
      </c>
      <c r="B71" s="161" t="s">
        <v>1694</v>
      </c>
      <c r="H71" s="112" t="s">
        <v>1339</v>
      </c>
      <c r="I71" s="181">
        <f>+'NAGE &amp; Non-Union Wages'!E19</f>
        <v>28.98</v>
      </c>
      <c r="J71" s="29">
        <v>2090</v>
      </c>
      <c r="K71" s="359">
        <f t="shared" si="5"/>
        <v>60568.2</v>
      </c>
      <c r="L71" s="130"/>
      <c r="M71" s="245">
        <v>43382</v>
      </c>
      <c r="N71" s="798">
        <v>2</v>
      </c>
      <c r="T71" s="59"/>
    </row>
    <row r="72" spans="1:20" x14ac:dyDescent="0.2">
      <c r="A72" s="245">
        <v>43333</v>
      </c>
      <c r="B72" s="161" t="s">
        <v>1695</v>
      </c>
      <c r="H72" s="112" t="s">
        <v>1337</v>
      </c>
      <c r="I72" s="181">
        <f>+'NAGE &amp; Non-Union Wages'!D8</f>
        <v>23.35</v>
      </c>
      <c r="J72" s="29">
        <v>2090</v>
      </c>
      <c r="K72" s="359">
        <f t="shared" si="5"/>
        <v>48801.5</v>
      </c>
      <c r="L72" s="130"/>
      <c r="M72" s="245">
        <v>43333</v>
      </c>
      <c r="N72" s="798"/>
      <c r="T72" s="59"/>
    </row>
    <row r="73" spans="1:20" x14ac:dyDescent="0.2">
      <c r="A73" s="396">
        <v>43641</v>
      </c>
      <c r="B73" s="161" t="s">
        <v>1696</v>
      </c>
      <c r="H73" s="103" t="s">
        <v>796</v>
      </c>
      <c r="I73" s="221">
        <f>+'UE Wages'!D8</f>
        <v>21.73</v>
      </c>
      <c r="J73" s="29">
        <v>2090</v>
      </c>
      <c r="K73" s="359">
        <f t="shared" si="5"/>
        <v>45415.7</v>
      </c>
      <c r="L73"/>
      <c r="M73" s="396">
        <v>43641</v>
      </c>
      <c r="N73" s="798">
        <v>1</v>
      </c>
      <c r="T73" s="59"/>
    </row>
    <row r="74" spans="1:20" x14ac:dyDescent="0.2">
      <c r="A74" s="245">
        <v>40574</v>
      </c>
      <c r="B74" s="666" t="s">
        <v>1697</v>
      </c>
      <c r="H74" s="103" t="s">
        <v>1340</v>
      </c>
      <c r="I74" s="221">
        <f>+'UE Wages'!I7</f>
        <v>22.45</v>
      </c>
      <c r="J74" s="29">
        <v>2090</v>
      </c>
      <c r="K74" s="359">
        <f t="shared" si="5"/>
        <v>46920.5</v>
      </c>
      <c r="L74" s="845">
        <v>300</v>
      </c>
      <c r="M74" s="245">
        <v>40574</v>
      </c>
      <c r="N74" s="798">
        <v>10</v>
      </c>
      <c r="T74" s="59"/>
    </row>
    <row r="75" spans="1:20" x14ac:dyDescent="0.2">
      <c r="A75" s="62">
        <v>42569</v>
      </c>
      <c r="B75" s="666" t="s">
        <v>1698</v>
      </c>
      <c r="H75" s="112" t="s">
        <v>1159</v>
      </c>
      <c r="I75" s="25">
        <f>+'UE Wages'!F7</f>
        <v>20.93</v>
      </c>
      <c r="J75" s="29">
        <v>2090</v>
      </c>
      <c r="K75" s="359">
        <f t="shared" si="5"/>
        <v>43743.7</v>
      </c>
      <c r="L75" s="130"/>
      <c r="M75" s="62">
        <v>42569</v>
      </c>
      <c r="N75" s="798">
        <v>4</v>
      </c>
      <c r="T75" s="59"/>
    </row>
    <row r="76" spans="1:20" x14ac:dyDescent="0.2">
      <c r="A76" s="245">
        <v>43349</v>
      </c>
      <c r="B76" s="666" t="s">
        <v>1699</v>
      </c>
      <c r="H76" s="103" t="s">
        <v>1341</v>
      </c>
      <c r="I76" s="221">
        <f>+'UE Wages'!F5</f>
        <v>16.489999999999998</v>
      </c>
      <c r="J76" s="29">
        <v>2090</v>
      </c>
      <c r="K76" s="359">
        <f t="shared" si="5"/>
        <v>34464.1</v>
      </c>
      <c r="L76" s="130"/>
      <c r="M76" s="245">
        <v>43349</v>
      </c>
      <c r="N76" s="798">
        <v>2</v>
      </c>
      <c r="T76" s="59"/>
    </row>
    <row r="77" spans="1:20" x14ac:dyDescent="0.2">
      <c r="A77" s="245">
        <v>38174</v>
      </c>
      <c r="B77" s="667" t="s">
        <v>1700</v>
      </c>
      <c r="H77" s="103" t="s">
        <v>1342</v>
      </c>
      <c r="I77" s="221">
        <f>+'UE Wages'!G7</f>
        <v>21.48</v>
      </c>
      <c r="J77" s="29">
        <v>2090</v>
      </c>
      <c r="K77" s="359">
        <f t="shared" si="5"/>
        <v>44893.2</v>
      </c>
      <c r="L77" s="130">
        <v>400</v>
      </c>
      <c r="M77" s="245">
        <v>38174</v>
      </c>
      <c r="N77" s="798">
        <v>16</v>
      </c>
      <c r="T77" s="59"/>
    </row>
    <row r="78" spans="1:20" x14ac:dyDescent="0.2">
      <c r="A78" s="245">
        <v>30803</v>
      </c>
      <c r="B78" s="667" t="s">
        <v>1700</v>
      </c>
      <c r="C78" s="368"/>
      <c r="D78" s="413"/>
      <c r="E78" s="413"/>
      <c r="H78" s="112" t="s">
        <v>1009</v>
      </c>
      <c r="I78" s="221">
        <f>+'UE Wages'!K8</f>
        <v>25.45</v>
      </c>
      <c r="J78" s="29">
        <v>2090</v>
      </c>
      <c r="K78" s="359">
        <f t="shared" si="5"/>
        <v>53190.5</v>
      </c>
      <c r="L78">
        <v>700</v>
      </c>
      <c r="M78" s="245">
        <v>30803</v>
      </c>
      <c r="N78" s="798">
        <v>37</v>
      </c>
      <c r="T78" s="59"/>
    </row>
    <row r="79" spans="1:20" x14ac:dyDescent="0.2">
      <c r="A79" s="245">
        <v>41645</v>
      </c>
      <c r="B79" s="667" t="s">
        <v>1701</v>
      </c>
      <c r="C79" s="368"/>
      <c r="D79" s="413"/>
      <c r="E79" s="413"/>
      <c r="H79" s="103" t="s">
        <v>1340</v>
      </c>
      <c r="I79" s="221">
        <f>+'UE Wages'!I7</f>
        <v>22.45</v>
      </c>
      <c r="J79" s="29">
        <v>2090</v>
      </c>
      <c r="K79" s="359">
        <f t="shared" si="5"/>
        <v>46920.5</v>
      </c>
      <c r="L79">
        <v>200</v>
      </c>
      <c r="M79" s="245">
        <v>41645</v>
      </c>
      <c r="N79" s="798">
        <v>7</v>
      </c>
      <c r="T79" s="59"/>
    </row>
    <row r="80" spans="1:20" x14ac:dyDescent="0.2">
      <c r="A80" s="185">
        <v>42711</v>
      </c>
      <c r="B80" s="665" t="s">
        <v>1702</v>
      </c>
      <c r="C80" s="368"/>
      <c r="D80" s="413"/>
      <c r="E80" s="413"/>
      <c r="H80" s="493" t="s">
        <v>1341</v>
      </c>
      <c r="I80" s="493">
        <f>+'UE Wages'!F5</f>
        <v>16.489999999999998</v>
      </c>
      <c r="J80" s="103">
        <v>742</v>
      </c>
      <c r="K80" s="359">
        <f t="shared" si="5"/>
        <v>12235.58</v>
      </c>
      <c r="M80" s="185">
        <v>42711</v>
      </c>
      <c r="N80" s="799">
        <v>4</v>
      </c>
      <c r="T80" s="59"/>
    </row>
    <row r="81" spans="1:20" x14ac:dyDescent="0.2">
      <c r="A81" s="245">
        <v>42821</v>
      </c>
      <c r="B81" s="161" t="s">
        <v>1703</v>
      </c>
      <c r="C81" s="368"/>
      <c r="D81" s="413"/>
      <c r="E81" s="413"/>
      <c r="H81" s="103" t="s">
        <v>1389</v>
      </c>
      <c r="I81" s="221">
        <f>+'UE Wages'!C8</f>
        <v>21.19</v>
      </c>
      <c r="J81" s="103">
        <v>2090</v>
      </c>
      <c r="K81" s="359">
        <f t="shared" si="5"/>
        <v>44287.1</v>
      </c>
      <c r="L81" s="4"/>
      <c r="M81" s="62">
        <v>42821</v>
      </c>
      <c r="N81" s="478">
        <v>4</v>
      </c>
      <c r="T81" s="59"/>
    </row>
    <row r="82" spans="1:20" x14ac:dyDescent="0.2">
      <c r="A82" s="245">
        <v>42688</v>
      </c>
      <c r="B82" s="161" t="s">
        <v>1704</v>
      </c>
      <c r="C82" s="368"/>
      <c r="D82" s="413"/>
      <c r="E82" s="413"/>
      <c r="H82" s="103" t="s">
        <v>1389</v>
      </c>
      <c r="I82" s="221">
        <f>+'UE Wages'!C8</f>
        <v>21.19</v>
      </c>
      <c r="J82" s="103">
        <v>2090</v>
      </c>
      <c r="K82" s="359">
        <f t="shared" si="5"/>
        <v>44287.1</v>
      </c>
      <c r="L82"/>
      <c r="M82" s="245">
        <v>42688</v>
      </c>
      <c r="N82" s="798">
        <v>4</v>
      </c>
      <c r="T82" s="59"/>
    </row>
    <row r="83" spans="1:20" x14ac:dyDescent="0.2">
      <c r="A83" s="396">
        <v>42457</v>
      </c>
      <c r="B83" s="161" t="s">
        <v>1704</v>
      </c>
      <c r="C83" s="368"/>
      <c r="D83" s="413"/>
      <c r="E83" s="413"/>
      <c r="H83" s="103" t="s">
        <v>796</v>
      </c>
      <c r="I83" s="221">
        <f>+'UE Wages'!D8</f>
        <v>21.73</v>
      </c>
      <c r="J83" s="103">
        <v>2090</v>
      </c>
      <c r="K83" s="359">
        <f t="shared" si="5"/>
        <v>45415.7</v>
      </c>
      <c r="L83" s="130">
        <v>200</v>
      </c>
      <c r="M83" s="396">
        <v>42457</v>
      </c>
      <c r="N83" s="799">
        <v>5</v>
      </c>
      <c r="T83" s="59"/>
    </row>
    <row r="84" spans="1:20" x14ac:dyDescent="0.2">
      <c r="A84" s="245">
        <v>43578</v>
      </c>
      <c r="B84" s="161" t="s">
        <v>641</v>
      </c>
      <c r="C84" s="368"/>
      <c r="D84" s="413"/>
      <c r="E84" s="413"/>
      <c r="H84" s="103" t="s">
        <v>1388</v>
      </c>
      <c r="I84" s="221">
        <f>+'UE Wages'!C7</f>
        <v>19.45</v>
      </c>
      <c r="J84" s="103">
        <v>2090</v>
      </c>
      <c r="K84" s="359">
        <f t="shared" si="5"/>
        <v>40650.5</v>
      </c>
      <c r="L84"/>
      <c r="M84" s="245">
        <v>43522</v>
      </c>
      <c r="N84" s="798">
        <v>3</v>
      </c>
      <c r="T84" s="59"/>
    </row>
    <row r="85" spans="1:20" x14ac:dyDescent="0.2">
      <c r="A85" s="245">
        <v>42718</v>
      </c>
      <c r="B85" s="161" t="s">
        <v>641</v>
      </c>
      <c r="H85" s="103" t="s">
        <v>1388</v>
      </c>
      <c r="I85" s="221">
        <f>+'UE Wages'!C7</f>
        <v>19.45</v>
      </c>
      <c r="J85" s="103">
        <v>2090</v>
      </c>
      <c r="K85" s="359">
        <f t="shared" si="5"/>
        <v>40650.5</v>
      </c>
      <c r="L85"/>
      <c r="M85" s="245">
        <v>42718</v>
      </c>
      <c r="N85" s="798">
        <v>4</v>
      </c>
      <c r="T85" s="59"/>
    </row>
    <row r="86" spans="1:20" x14ac:dyDescent="0.2">
      <c r="A86" s="245">
        <v>43571</v>
      </c>
      <c r="B86" s="161" t="s">
        <v>1705</v>
      </c>
      <c r="H86" s="103" t="s">
        <v>1388</v>
      </c>
      <c r="I86" s="221">
        <f>+'UE Wages'!C7</f>
        <v>19.45</v>
      </c>
      <c r="J86" s="103">
        <v>2090</v>
      </c>
      <c r="K86" s="359">
        <f t="shared" si="5"/>
        <v>40650.5</v>
      </c>
      <c r="L86"/>
      <c r="M86" s="245">
        <v>43087</v>
      </c>
      <c r="N86" s="798">
        <v>3</v>
      </c>
      <c r="T86" s="59"/>
    </row>
    <row r="87" spans="1:20" x14ac:dyDescent="0.2">
      <c r="A87" s="245">
        <v>39203</v>
      </c>
      <c r="B87" s="161" t="s">
        <v>641</v>
      </c>
      <c r="H87" s="103" t="s">
        <v>1340</v>
      </c>
      <c r="I87" s="221">
        <f>+'UE Wages'!I7</f>
        <v>22.45</v>
      </c>
      <c r="J87" s="103">
        <v>2090</v>
      </c>
      <c r="K87" s="359">
        <f t="shared" si="5"/>
        <v>46920.5</v>
      </c>
      <c r="L87">
        <v>300</v>
      </c>
      <c r="M87" s="245">
        <v>39203</v>
      </c>
      <c r="N87" s="798">
        <v>14</v>
      </c>
      <c r="T87" s="59"/>
    </row>
    <row r="88" spans="1:20" s="4" customFormat="1" x14ac:dyDescent="0.2">
      <c r="A88" s="62">
        <v>43913</v>
      </c>
      <c r="B88" s="161" t="s">
        <v>1619</v>
      </c>
      <c r="H88" s="102" t="s">
        <v>1401</v>
      </c>
      <c r="I88" s="221">
        <f>+'UE Wages'!D7</f>
        <v>19.93</v>
      </c>
      <c r="J88" s="103">
        <v>2090</v>
      </c>
      <c r="K88" s="359">
        <f t="shared" si="5"/>
        <v>41653.699999999997</v>
      </c>
      <c r="M88" s="62"/>
      <c r="N88" s="478"/>
      <c r="T88" s="27"/>
    </row>
    <row r="89" spans="1:20" s="4" customFormat="1" x14ac:dyDescent="0.2">
      <c r="B89" s="161"/>
      <c r="C89" s="25"/>
      <c r="D89" s="25"/>
      <c r="F89" s="25"/>
      <c r="H89" s="25"/>
      <c r="I89" s="25" t="s">
        <v>1344</v>
      </c>
      <c r="J89" s="25"/>
      <c r="K89" s="25"/>
      <c r="L89" s="478">
        <f>SUM(L69:L88)</f>
        <v>3000</v>
      </c>
      <c r="M89" s="25"/>
      <c r="N89" s="25"/>
      <c r="T89" s="27"/>
    </row>
    <row r="90" spans="1:20" s="4" customFormat="1" x14ac:dyDescent="0.2">
      <c r="A90" s="72"/>
      <c r="B90" s="161"/>
      <c r="C90" s="112"/>
      <c r="D90" s="112"/>
      <c r="E90" s="112"/>
      <c r="F90" s="25"/>
      <c r="H90" s="25"/>
      <c r="I90" s="25"/>
      <c r="J90" s="25" t="s">
        <v>431</v>
      </c>
      <c r="K90" s="25">
        <f>SUM(K69:K89)</f>
        <v>936043.87999999977</v>
      </c>
      <c r="M90" s="25"/>
      <c r="N90" s="25"/>
      <c r="T90" s="27"/>
    </row>
    <row r="91" spans="1:20" s="4" customFormat="1" x14ac:dyDescent="0.2">
      <c r="A91" s="436"/>
      <c r="B91" s="28"/>
      <c r="C91" s="25"/>
      <c r="D91" s="181"/>
      <c r="E91" s="181"/>
      <c r="F91" s="29"/>
      <c r="H91" s="29"/>
      <c r="I91" s="29"/>
      <c r="J91" s="478">
        <v>433</v>
      </c>
      <c r="K91" s="168">
        <f>-'433 Solid Waste'!L10</f>
        <v>-12236</v>
      </c>
      <c r="T91" s="27"/>
    </row>
    <row r="92" spans="1:20" s="4" customFormat="1" x14ac:dyDescent="0.2">
      <c r="B92" s="28"/>
      <c r="C92" s="25"/>
      <c r="D92" s="181"/>
      <c r="E92" s="181"/>
      <c r="F92" s="29"/>
      <c r="H92" s="29"/>
      <c r="I92" s="29"/>
      <c r="J92" s="478">
        <v>420</v>
      </c>
      <c r="K92" s="168">
        <f>+K91+K90</f>
        <v>923807.87999999977</v>
      </c>
      <c r="M92" s="435">
        <f>SUM(M69:M91)</f>
        <v>780476</v>
      </c>
      <c r="T92" s="27"/>
    </row>
    <row r="93" spans="1:20" s="4" customFormat="1" x14ac:dyDescent="0.2">
      <c r="B93" s="161" t="s">
        <v>795</v>
      </c>
      <c r="C93" s="25"/>
      <c r="I93" s="25"/>
      <c r="J93" s="25"/>
      <c r="K93" s="29"/>
      <c r="S93" s="28"/>
      <c r="T93" s="27"/>
    </row>
    <row r="94" spans="1:20" s="4" customFormat="1" x14ac:dyDescent="0.2">
      <c r="A94" s="72"/>
      <c r="C94" s="25"/>
      <c r="D94" s="29"/>
      <c r="E94" s="29"/>
      <c r="F94" s="29"/>
      <c r="G94" s="29"/>
      <c r="H94" s="29"/>
      <c r="I94" s="25"/>
      <c r="J94" s="25"/>
      <c r="K94" s="29"/>
      <c r="M94" s="29"/>
      <c r="N94" s="29"/>
      <c r="S94" s="29">
        <f>ROUND((SUM(S69:S93)),0)</f>
        <v>0</v>
      </c>
      <c r="T94" s="27"/>
    </row>
    <row r="95" spans="1:20" ht="14.25" x14ac:dyDescent="0.2">
      <c r="A95" s="664"/>
    </row>
    <row r="96" spans="1:20" x14ac:dyDescent="0.2">
      <c r="A96" s="4" t="s">
        <v>1164</v>
      </c>
      <c r="B96" s="4"/>
    </row>
    <row r="97" spans="1:2" x14ac:dyDescent="0.2">
      <c r="A97" s="4" t="s">
        <v>1165</v>
      </c>
      <c r="B97" s="4"/>
    </row>
    <row r="98" spans="1:2" x14ac:dyDescent="0.2">
      <c r="A98" s="4" t="s">
        <v>1166</v>
      </c>
      <c r="B98" s="4"/>
    </row>
    <row r="99" spans="1:2" x14ac:dyDescent="0.2">
      <c r="A99" s="4" t="s">
        <v>1167</v>
      </c>
      <c r="B99" s="4"/>
    </row>
    <row r="100" spans="1:2" x14ac:dyDescent="0.2">
      <c r="A100" s="668" t="s">
        <v>1168</v>
      </c>
      <c r="B100" s="4"/>
    </row>
    <row r="101" spans="1:2" x14ac:dyDescent="0.2">
      <c r="A101" s="4" t="s">
        <v>1169</v>
      </c>
      <c r="B101" s="4"/>
    </row>
    <row r="102" spans="1:2" x14ac:dyDescent="0.2">
      <c r="A102" s="422"/>
      <c r="B102" s="4"/>
    </row>
    <row r="103" spans="1:2" x14ac:dyDescent="0.2">
      <c r="A103" s="422"/>
      <c r="B103" s="4"/>
    </row>
    <row r="104" spans="1:2" x14ac:dyDescent="0.2">
      <c r="A104" s="422"/>
      <c r="B104" s="4"/>
    </row>
    <row r="105" spans="1:2" x14ac:dyDescent="0.2">
      <c r="A105" s="422"/>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ht="15" x14ac:dyDescent="0.25">
      <c r="A112" s="256"/>
      <c r="B112" s="256"/>
    </row>
    <row r="113" spans="1:2" ht="15" x14ac:dyDescent="0.25">
      <c r="A113" s="256"/>
      <c r="B113" s="256"/>
    </row>
    <row r="114" spans="1:2" ht="15" x14ac:dyDescent="0.25">
      <c r="A114" s="256"/>
      <c r="B114" s="256"/>
    </row>
    <row r="115" spans="1:2" ht="15" x14ac:dyDescent="0.25">
      <c r="A115" s="256"/>
      <c r="B115" s="256"/>
    </row>
    <row r="116" spans="1:2" ht="15" x14ac:dyDescent="0.25">
      <c r="A116" s="256"/>
      <c r="B116" s="256"/>
    </row>
    <row r="117" spans="1:2" ht="15" x14ac:dyDescent="0.25">
      <c r="A117" s="256"/>
      <c r="B117" s="256"/>
    </row>
  </sheetData>
  <phoneticPr fontId="0" type="noConversion"/>
  <hyperlinks>
    <hyperlink ref="A1" location="'Working Budget with funding det'!A1" display="Main "/>
    <hyperlink ref="B1" location="'Table of Contents'!A1" display="TOC"/>
  </hyperlinks>
  <pageMargins left="0.75" right="0.75" top="1" bottom="1" header="0.5" footer="0.5"/>
  <pageSetup scale="89" fitToHeight="3" orientation="landscape" horizontalDpi="300" verticalDpi="300" r:id="rId1"/>
  <headerFooter alignWithMargins="0">
    <oddFooter>&amp;L&amp;D     &amp;T&amp;C&amp;F&amp;R&amp;A  &amp;P</oddFooter>
  </headerFooter>
  <rowBreaks count="2" manualBreakCount="2">
    <brk id="63" max="11" man="1"/>
    <brk id="95"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3"/>
  <sheetViews>
    <sheetView zoomScale="85" workbookViewId="0">
      <pane ySplit="7" topLeftCell="A8" activePane="bottomLeft" state="frozen"/>
      <selection activeCell="K15" sqref="K15"/>
      <selection pane="bottomLeft" activeCell="L9" sqref="L9"/>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1014</v>
      </c>
      <c r="B1" s="410" t="s">
        <v>1418</v>
      </c>
      <c r="M1"/>
    </row>
    <row r="2" spans="1:16" ht="15" x14ac:dyDescent="0.25">
      <c r="A2" s="49" t="s">
        <v>257</v>
      </c>
      <c r="B2" s="49"/>
      <c r="E2" s="153"/>
      <c r="H2" s="153" t="s">
        <v>252</v>
      </c>
      <c r="I2" s="153"/>
      <c r="J2" s="153"/>
      <c r="K2" s="67" t="s">
        <v>359</v>
      </c>
      <c r="M2" s="50" t="s">
        <v>487</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19"/>
      <c r="J8" s="20"/>
      <c r="K8" s="19"/>
      <c r="L8" s="20"/>
      <c r="M8" s="20"/>
    </row>
    <row r="9" spans="1:16" x14ac:dyDescent="0.2">
      <c r="A9" s="12">
        <v>5112</v>
      </c>
      <c r="B9" s="69" t="s">
        <v>154</v>
      </c>
      <c r="C9" s="460">
        <v>63971.3</v>
      </c>
      <c r="D9" s="14">
        <f>4702.2+65911.5</f>
        <v>70613.7</v>
      </c>
      <c r="E9" s="156">
        <v>72732</v>
      </c>
      <c r="F9" s="156">
        <v>74739</v>
      </c>
      <c r="G9" s="156">
        <v>100017.29</v>
      </c>
      <c r="H9" s="156">
        <v>106004.5</v>
      </c>
      <c r="I9" s="14">
        <v>110121.8</v>
      </c>
      <c r="J9" s="15">
        <f>1785+119364</f>
        <v>121149</v>
      </c>
      <c r="K9" s="14">
        <v>57690</v>
      </c>
      <c r="L9" s="15">
        <f>ROUND((+'420 DPW'!K74+'420 DPW'!K75+'420 DPW'!K76),0)</f>
        <v>125128</v>
      </c>
      <c r="M9" s="15"/>
    </row>
    <row r="10" spans="1:16" x14ac:dyDescent="0.2">
      <c r="A10" s="12">
        <v>5132</v>
      </c>
      <c r="B10" s="69" t="s">
        <v>186</v>
      </c>
      <c r="C10" s="804">
        <v>3287.13</v>
      </c>
      <c r="D10" s="39">
        <f>283.47+4109.44</f>
        <v>4392.91</v>
      </c>
      <c r="E10" s="244">
        <v>2212.44</v>
      </c>
      <c r="F10" s="244">
        <v>1440</v>
      </c>
      <c r="G10" s="244">
        <v>1576.97</v>
      </c>
      <c r="H10" s="244">
        <v>2867</v>
      </c>
      <c r="I10" s="39">
        <v>2574.35</v>
      </c>
      <c r="J10" s="40">
        <v>4000</v>
      </c>
      <c r="K10" s="39">
        <v>1148.8399999999999</v>
      </c>
      <c r="L10" s="40">
        <v>4000</v>
      </c>
      <c r="M10" s="40"/>
    </row>
    <row r="11" spans="1:16" ht="13.5" thickBot="1" x14ac:dyDescent="0.25">
      <c r="A11" s="12">
        <v>5142</v>
      </c>
      <c r="B11" s="69" t="s">
        <v>159</v>
      </c>
      <c r="C11" s="804">
        <v>196.41</v>
      </c>
      <c r="D11" s="39">
        <v>226.1</v>
      </c>
      <c r="E11" s="244">
        <v>201.6</v>
      </c>
      <c r="F11" s="244">
        <v>210</v>
      </c>
      <c r="G11" s="244">
        <v>1.2</v>
      </c>
      <c r="H11" s="244"/>
      <c r="I11" s="39">
        <v>63.06</v>
      </c>
      <c r="J11" s="40">
        <v>250</v>
      </c>
      <c r="K11" s="39"/>
      <c r="L11" s="40">
        <v>250</v>
      </c>
      <c r="M11" s="40"/>
    </row>
    <row r="12" spans="1:16" x14ac:dyDescent="0.2">
      <c r="A12" s="12"/>
      <c r="B12" s="70" t="s">
        <v>125</v>
      </c>
      <c r="C12" s="819">
        <f t="shared" ref="C12:M12" si="0">SUM(C9:C11)</f>
        <v>67454.840000000011</v>
      </c>
      <c r="D12" s="34">
        <f t="shared" si="0"/>
        <v>75232.710000000006</v>
      </c>
      <c r="E12" s="34">
        <f t="shared" si="0"/>
        <v>75146.040000000008</v>
      </c>
      <c r="F12" s="34">
        <f>SUM(F9:F11)</f>
        <v>76389</v>
      </c>
      <c r="G12" s="34">
        <f>SUM(G9:G11)</f>
        <v>101595.45999999999</v>
      </c>
      <c r="H12" s="34">
        <f>SUM(H9:H11)</f>
        <v>108871.5</v>
      </c>
      <c r="I12" s="34">
        <f t="shared" si="0"/>
        <v>112759.21</v>
      </c>
      <c r="J12" s="35">
        <f>SUM(J9:J11)</f>
        <v>125399</v>
      </c>
      <c r="K12" s="34">
        <f t="shared" si="0"/>
        <v>58838.84</v>
      </c>
      <c r="L12" s="35">
        <f>SUM(L9:L11)</f>
        <v>129378</v>
      </c>
      <c r="M12" s="35">
        <f t="shared" si="0"/>
        <v>0</v>
      </c>
    </row>
    <row r="13" spans="1:16" x14ac:dyDescent="0.2">
      <c r="A13" s="12"/>
      <c r="B13" s="69"/>
      <c r="C13" s="460"/>
      <c r="D13" s="14"/>
      <c r="E13" s="14"/>
      <c r="F13" s="14"/>
      <c r="G13" s="14"/>
      <c r="H13" s="14"/>
      <c r="I13" s="14"/>
      <c r="J13" s="15"/>
      <c r="K13" s="14"/>
      <c r="L13" s="15"/>
      <c r="M13" s="15"/>
    </row>
    <row r="14" spans="1:16" x14ac:dyDescent="0.2">
      <c r="A14" s="12">
        <v>5241</v>
      </c>
      <c r="B14" s="69" t="s">
        <v>873</v>
      </c>
      <c r="C14" s="460"/>
      <c r="D14" s="19"/>
      <c r="E14" s="136">
        <v>2228</v>
      </c>
      <c r="F14" s="136">
        <v>2295</v>
      </c>
      <c r="G14" s="136">
        <v>2364</v>
      </c>
      <c r="H14" s="136">
        <v>2434</v>
      </c>
      <c r="I14" s="19">
        <v>2508</v>
      </c>
      <c r="J14" s="20">
        <v>3000</v>
      </c>
      <c r="K14" s="14">
        <v>2583</v>
      </c>
      <c r="L14" s="20">
        <v>3000</v>
      </c>
      <c r="M14" s="20"/>
    </row>
    <row r="15" spans="1:16" x14ac:dyDescent="0.2">
      <c r="A15" s="12">
        <v>5242</v>
      </c>
      <c r="B15" s="69" t="s">
        <v>192</v>
      </c>
      <c r="C15" s="460">
        <v>12678.44</v>
      </c>
      <c r="D15" s="19">
        <v>14234.46</v>
      </c>
      <c r="E15" s="136">
        <v>21584.59</v>
      </c>
      <c r="F15" s="136">
        <v>12784.57</v>
      </c>
      <c r="G15" s="136">
        <v>9805.6299999999992</v>
      </c>
      <c r="H15" s="136">
        <v>13534.16</v>
      </c>
      <c r="I15" s="19">
        <v>14854.66</v>
      </c>
      <c r="J15" s="20">
        <v>13000</v>
      </c>
      <c r="K15" s="14">
        <v>1934.92</v>
      </c>
      <c r="L15" s="20">
        <v>16000</v>
      </c>
      <c r="M15" s="20"/>
    </row>
    <row r="16" spans="1:16" x14ac:dyDescent="0.2">
      <c r="A16" s="12">
        <v>5243</v>
      </c>
      <c r="B16" s="69" t="s">
        <v>193</v>
      </c>
      <c r="C16" s="460">
        <v>15167.36</v>
      </c>
      <c r="D16" s="19">
        <v>12103.44</v>
      </c>
      <c r="E16" s="136">
        <v>42549.06</v>
      </c>
      <c r="F16" s="136">
        <v>23614.560000000001</v>
      </c>
      <c r="G16" s="136">
        <v>31462.560000000001</v>
      </c>
      <c r="H16" s="136">
        <v>20342.38</v>
      </c>
      <c r="I16" s="19">
        <v>33925.94</v>
      </c>
      <c r="J16" s="20">
        <v>25000</v>
      </c>
      <c r="K16" s="14">
        <v>100</v>
      </c>
      <c r="L16" s="20">
        <v>25000</v>
      </c>
      <c r="M16" s="20"/>
    </row>
    <row r="17" spans="1:16" x14ac:dyDescent="0.2">
      <c r="A17" s="12">
        <v>5251</v>
      </c>
      <c r="B17" s="69" t="s">
        <v>162</v>
      </c>
      <c r="C17" s="460">
        <v>692.5</v>
      </c>
      <c r="D17" s="19">
        <v>0</v>
      </c>
      <c r="E17" s="136"/>
      <c r="F17" s="136"/>
      <c r="G17" s="136">
        <v>5710.13</v>
      </c>
      <c r="H17" s="136">
        <v>493.99</v>
      </c>
      <c r="I17" s="19">
        <v>0</v>
      </c>
      <c r="J17" s="20">
        <v>800</v>
      </c>
      <c r="K17" s="14"/>
      <c r="L17" s="20">
        <v>800</v>
      </c>
      <c r="M17" s="20"/>
    </row>
    <row r="18" spans="1:16" x14ac:dyDescent="0.2">
      <c r="A18" s="12">
        <v>5430</v>
      </c>
      <c r="B18" s="69" t="s">
        <v>369</v>
      </c>
      <c r="C18" s="460">
        <v>1946.02</v>
      </c>
      <c r="D18" s="19">
        <v>2231.6999999999998</v>
      </c>
      <c r="E18" s="136">
        <v>1296.46</v>
      </c>
      <c r="F18" s="136">
        <v>2045.7</v>
      </c>
      <c r="G18" s="136">
        <v>2138.9699999999998</v>
      </c>
      <c r="H18" s="136">
        <v>3025.76</v>
      </c>
      <c r="I18" s="19">
        <v>2059.59</v>
      </c>
      <c r="J18" s="20">
        <v>3000</v>
      </c>
      <c r="K18" s="14">
        <v>1993.03</v>
      </c>
      <c r="L18" s="20">
        <v>4000</v>
      </c>
      <c r="M18" s="20"/>
    </row>
    <row r="19" spans="1:16" x14ac:dyDescent="0.2">
      <c r="A19" s="12">
        <v>5443</v>
      </c>
      <c r="B19" s="13" t="s">
        <v>196</v>
      </c>
      <c r="C19" s="156">
        <v>601.75</v>
      </c>
      <c r="D19" s="19">
        <v>526.84</v>
      </c>
      <c r="E19" s="136">
        <v>1059.18</v>
      </c>
      <c r="F19" s="136">
        <v>1706.79</v>
      </c>
      <c r="G19" s="136">
        <v>1642.64</v>
      </c>
      <c r="H19" s="136">
        <v>10884.74</v>
      </c>
      <c r="I19" s="19">
        <v>2866.67</v>
      </c>
      <c r="J19" s="20">
        <v>2500</v>
      </c>
      <c r="K19" s="14">
        <v>2085.39</v>
      </c>
      <c r="L19" s="20">
        <v>4000</v>
      </c>
      <c r="M19" s="20"/>
    </row>
    <row r="20" spans="1:16" ht="13.5" thickBot="1" x14ac:dyDescent="0.25">
      <c r="A20" s="12">
        <v>5451</v>
      </c>
      <c r="B20" s="13" t="s">
        <v>197</v>
      </c>
      <c r="C20" s="349">
        <v>5018.82</v>
      </c>
      <c r="D20" s="16">
        <v>5254.01</v>
      </c>
      <c r="E20" s="349">
        <v>5220.07</v>
      </c>
      <c r="F20" s="349">
        <v>4714.6000000000004</v>
      </c>
      <c r="G20" s="349">
        <v>7479.13</v>
      </c>
      <c r="H20" s="349">
        <v>7438.02</v>
      </c>
      <c r="I20" s="16">
        <v>7961.22</v>
      </c>
      <c r="J20" s="17">
        <v>7500</v>
      </c>
      <c r="K20" s="16">
        <v>2139.44</v>
      </c>
      <c r="L20" s="17">
        <v>8000</v>
      </c>
      <c r="M20" s="17"/>
    </row>
    <row r="21" spans="1:16" x14ac:dyDescent="0.2">
      <c r="A21" s="12"/>
      <c r="B21" s="18" t="s">
        <v>442</v>
      </c>
      <c r="C21" s="19">
        <f>SUM(C15:C20)</f>
        <v>36104.89</v>
      </c>
      <c r="D21" s="19">
        <f>SUM(D15:D20)</f>
        <v>34350.450000000004</v>
      </c>
      <c r="E21" s="19">
        <f t="shared" ref="E21:M21" si="1">SUM(E14:E20)</f>
        <v>73937.359999999986</v>
      </c>
      <c r="F21" s="19">
        <f t="shared" si="1"/>
        <v>47161.22</v>
      </c>
      <c r="G21" s="19">
        <f t="shared" si="1"/>
        <v>60603.06</v>
      </c>
      <c r="H21" s="19">
        <f t="shared" si="1"/>
        <v>58153.05</v>
      </c>
      <c r="I21" s="19">
        <f t="shared" si="1"/>
        <v>64176.08</v>
      </c>
      <c r="J21" s="38">
        <f t="shared" si="1"/>
        <v>54800</v>
      </c>
      <c r="K21" s="19">
        <f t="shared" si="1"/>
        <v>10835.78</v>
      </c>
      <c r="L21" s="38">
        <f t="shared" si="1"/>
        <v>60800</v>
      </c>
      <c r="M21" s="38">
        <f t="shared" si="1"/>
        <v>0</v>
      </c>
    </row>
    <row r="22" spans="1:16" x14ac:dyDescent="0.2">
      <c r="A22" s="12"/>
      <c r="B22" s="13"/>
      <c r="C22" s="14"/>
      <c r="D22" s="14"/>
      <c r="E22" s="14"/>
      <c r="F22" s="14"/>
      <c r="G22" s="14"/>
      <c r="H22" s="14"/>
      <c r="I22" s="14"/>
      <c r="J22" s="15"/>
      <c r="K22" s="14"/>
      <c r="L22" s="15"/>
      <c r="M22" s="15"/>
    </row>
    <row r="23" spans="1:16" ht="13.5" thickBot="1" x14ac:dyDescent="0.25">
      <c r="A23" s="21"/>
      <c r="B23" s="22" t="s">
        <v>451</v>
      </c>
      <c r="C23" s="23">
        <f t="shared" ref="C23:L23" si="2">+C21+C12</f>
        <v>103559.73000000001</v>
      </c>
      <c r="D23" s="23">
        <f t="shared" si="2"/>
        <v>109583.16</v>
      </c>
      <c r="E23" s="23">
        <f t="shared" si="2"/>
        <v>149083.4</v>
      </c>
      <c r="F23" s="23">
        <f t="shared" si="2"/>
        <v>123550.22</v>
      </c>
      <c r="G23" s="23">
        <f t="shared" si="2"/>
        <v>162198.51999999999</v>
      </c>
      <c r="H23" s="23">
        <f t="shared" si="2"/>
        <v>167024.54999999999</v>
      </c>
      <c r="I23" s="23">
        <f t="shared" si="2"/>
        <v>176935.29</v>
      </c>
      <c r="J23" s="24">
        <f t="shared" si="2"/>
        <v>180199</v>
      </c>
      <c r="K23" s="23">
        <f t="shared" si="2"/>
        <v>69674.62</v>
      </c>
      <c r="L23" s="24">
        <f t="shared" si="2"/>
        <v>190178</v>
      </c>
      <c r="M23" s="24">
        <f>+L23</f>
        <v>190178</v>
      </c>
    </row>
    <row r="24" spans="1:16" ht="13.5" thickTop="1" x14ac:dyDescent="0.2">
      <c r="A24" s="4"/>
      <c r="B24" s="4"/>
      <c r="C24" s="25"/>
      <c r="D24" s="25"/>
      <c r="E24" s="25"/>
      <c r="F24" s="25"/>
      <c r="G24" s="25"/>
      <c r="H24" s="25"/>
      <c r="I24" s="25"/>
      <c r="J24" s="25"/>
      <c r="K24" s="29"/>
      <c r="L24" s="25"/>
      <c r="M24" s="25"/>
      <c r="N24" s="29"/>
      <c r="O24" s="29"/>
      <c r="P24" s="29"/>
    </row>
    <row r="25" spans="1:16" ht="15" x14ac:dyDescent="0.25">
      <c r="A25" s="424"/>
      <c r="B25" s="4"/>
      <c r="C25" s="25"/>
      <c r="D25" s="25"/>
      <c r="E25" s="25"/>
      <c r="F25" s="25"/>
      <c r="G25" s="25"/>
      <c r="H25" s="25"/>
      <c r="I25" s="25"/>
      <c r="J25" s="25"/>
      <c r="K25" s="29"/>
      <c r="L25" s="25"/>
      <c r="M25" s="25"/>
      <c r="N25" s="29"/>
      <c r="O25" s="29"/>
      <c r="P25" s="29"/>
    </row>
    <row r="26" spans="1:16" ht="15" x14ac:dyDescent="0.25">
      <c r="A26" s="418"/>
      <c r="B26" s="4"/>
      <c r="C26" s="25"/>
      <c r="D26" s="25"/>
      <c r="E26" s="25"/>
      <c r="F26" s="25"/>
      <c r="G26" s="25"/>
      <c r="H26" s="25"/>
      <c r="I26" s="25"/>
      <c r="J26" s="25"/>
      <c r="K26" s="29"/>
      <c r="L26" s="25"/>
      <c r="M26" s="25"/>
      <c r="N26" s="29"/>
      <c r="O26" s="29"/>
      <c r="P26" s="29"/>
    </row>
    <row r="27" spans="1:16" ht="15.75" thickBot="1" x14ac:dyDescent="0.3">
      <c r="A27" s="421"/>
      <c r="B27" s="4"/>
      <c r="C27" s="25"/>
      <c r="D27" s="25"/>
      <c r="E27" s="25"/>
      <c r="F27" s="25"/>
      <c r="G27" s="25"/>
      <c r="H27" s="25"/>
      <c r="I27" s="25"/>
      <c r="J27" s="25"/>
      <c r="K27" s="29"/>
      <c r="L27" s="25"/>
      <c r="M27" s="25"/>
      <c r="N27" s="29"/>
      <c r="O27" s="29"/>
      <c r="P27" s="29"/>
    </row>
    <row r="28" spans="1:16" ht="13.5" thickTop="1" x14ac:dyDescent="0.2">
      <c r="A28" s="517"/>
      <c r="B28" s="518"/>
      <c r="C28" s="519" t="s">
        <v>122</v>
      </c>
      <c r="D28" s="520" t="s">
        <v>122</v>
      </c>
      <c r="E28" s="520" t="s">
        <v>122</v>
      </c>
      <c r="H28" s="521" t="s">
        <v>542</v>
      </c>
      <c r="I28" s="522" t="s">
        <v>9</v>
      </c>
      <c r="J28" s="523" t="s">
        <v>1073</v>
      </c>
      <c r="K28" s="522" t="s">
        <v>682</v>
      </c>
      <c r="L28" s="524"/>
      <c r="M28" s="523"/>
      <c r="N28" s="29"/>
      <c r="O28" s="29"/>
      <c r="P28" s="29"/>
    </row>
    <row r="29" spans="1:16" ht="13.5" thickBot="1" x14ac:dyDescent="0.25">
      <c r="A29" s="525" t="s">
        <v>123</v>
      </c>
      <c r="B29" s="526"/>
      <c r="C29" s="527" t="s">
        <v>334</v>
      </c>
      <c r="D29" s="527" t="s">
        <v>718</v>
      </c>
      <c r="E29" s="528" t="s">
        <v>734</v>
      </c>
      <c r="H29" s="529" t="s">
        <v>899</v>
      </c>
      <c r="I29" s="529" t="s">
        <v>900</v>
      </c>
      <c r="J29" s="528" t="s">
        <v>1075</v>
      </c>
      <c r="K29" s="530" t="s">
        <v>1075</v>
      </c>
      <c r="L29" s="531" t="s">
        <v>1074</v>
      </c>
      <c r="M29" s="529"/>
      <c r="N29" s="29"/>
      <c r="O29" s="29"/>
      <c r="P29" s="29"/>
    </row>
    <row r="30" spans="1:16" ht="13.5" thickTop="1" x14ac:dyDescent="0.2">
      <c r="A30" s="548"/>
      <c r="B30" s="549"/>
      <c r="C30" s="536"/>
      <c r="D30" s="536"/>
      <c r="E30" s="536"/>
      <c r="H30" s="537"/>
      <c r="I30" s="560"/>
      <c r="J30" s="561"/>
      <c r="K30" s="559"/>
      <c r="L30" s="538"/>
      <c r="M30" s="539"/>
      <c r="N30" s="29"/>
      <c r="O30" s="29"/>
      <c r="P30" s="29"/>
    </row>
    <row r="31" spans="1:16" x14ac:dyDescent="0.2">
      <c r="A31" s="551">
        <v>5112</v>
      </c>
      <c r="B31" s="540" t="s">
        <v>154</v>
      </c>
      <c r="C31" s="544">
        <v>63971.3</v>
      </c>
      <c r="D31" s="544">
        <f>4702.2+65911.5</f>
        <v>70613.7</v>
      </c>
      <c r="E31" s="544">
        <v>72732</v>
      </c>
      <c r="H31" s="543">
        <f>+J9</f>
        <v>121149</v>
      </c>
      <c r="I31" s="569">
        <f>+L9</f>
        <v>125128</v>
      </c>
      <c r="J31" s="572">
        <f t="shared" ref="J31:J40" si="3">+I31-H31</f>
        <v>3979</v>
      </c>
      <c r="K31" s="545">
        <f t="shared" ref="K31:K40" si="4">IF(H31+I31&lt;&gt;0,IF(H31&lt;&gt;0,IF(J31&lt;&gt;0,ROUND((+J31/H31),4),""),1),"")</f>
        <v>3.2800000000000003E-2</v>
      </c>
      <c r="L31" s="538" t="s">
        <v>1103</v>
      </c>
      <c r="M31" s="539"/>
      <c r="N31" s="29"/>
      <c r="O31" s="29"/>
      <c r="P31" s="29"/>
    </row>
    <row r="32" spans="1:16" x14ac:dyDescent="0.2">
      <c r="A32" s="551">
        <v>5132</v>
      </c>
      <c r="B32" s="540" t="s">
        <v>186</v>
      </c>
      <c r="C32" s="546">
        <v>3287.13</v>
      </c>
      <c r="D32" s="546">
        <f>283.47+4109.44</f>
        <v>4392.91</v>
      </c>
      <c r="E32" s="546">
        <v>2212.44</v>
      </c>
      <c r="H32" s="543">
        <f>+J10</f>
        <v>4000</v>
      </c>
      <c r="I32" s="569">
        <f>+L10</f>
        <v>4000</v>
      </c>
      <c r="J32" s="572">
        <f t="shared" si="3"/>
        <v>0</v>
      </c>
      <c r="K32" s="545" t="str">
        <f t="shared" si="4"/>
        <v/>
      </c>
      <c r="L32" s="538"/>
      <c r="M32" s="539"/>
      <c r="N32" s="29"/>
      <c r="O32" s="29"/>
      <c r="P32" s="29"/>
    </row>
    <row r="33" spans="1:16" x14ac:dyDescent="0.2">
      <c r="A33" s="551">
        <v>5142</v>
      </c>
      <c r="B33" s="540" t="s">
        <v>159</v>
      </c>
      <c r="C33" s="546">
        <v>196.41</v>
      </c>
      <c r="D33" s="546">
        <v>226.1</v>
      </c>
      <c r="E33" s="546">
        <v>201.6</v>
      </c>
      <c r="H33" s="543">
        <f>+J11</f>
        <v>250</v>
      </c>
      <c r="I33" s="569">
        <f>+L11</f>
        <v>250</v>
      </c>
      <c r="J33" s="572">
        <f t="shared" si="3"/>
        <v>0</v>
      </c>
      <c r="K33" s="545" t="str">
        <f t="shared" si="4"/>
        <v/>
      </c>
      <c r="L33" s="538"/>
      <c r="M33" s="539"/>
      <c r="N33" s="29"/>
      <c r="O33" s="29"/>
      <c r="P33" s="29"/>
    </row>
    <row r="34" spans="1:16" x14ac:dyDescent="0.2">
      <c r="A34" s="551">
        <v>5241</v>
      </c>
      <c r="B34" s="540" t="s">
        <v>873</v>
      </c>
      <c r="C34" s="544"/>
      <c r="D34" s="536"/>
      <c r="E34" s="536">
        <v>2228</v>
      </c>
      <c r="H34" s="543">
        <f>+J14</f>
        <v>3000</v>
      </c>
      <c r="I34" s="569">
        <f t="shared" ref="I34:I40" si="5">+L14</f>
        <v>3000</v>
      </c>
      <c r="J34" s="572">
        <f t="shared" si="3"/>
        <v>0</v>
      </c>
      <c r="K34" s="545" t="str">
        <f t="shared" si="4"/>
        <v/>
      </c>
      <c r="L34" s="538"/>
      <c r="M34" s="539"/>
      <c r="N34" s="29"/>
      <c r="O34" s="29"/>
      <c r="P34" s="29"/>
    </row>
    <row r="35" spans="1:16" x14ac:dyDescent="0.2">
      <c r="A35" s="551">
        <v>5242</v>
      </c>
      <c r="B35" s="540" t="s">
        <v>192</v>
      </c>
      <c r="C35" s="544">
        <v>12678.44</v>
      </c>
      <c r="D35" s="536">
        <v>14234.46</v>
      </c>
      <c r="E35" s="536">
        <v>21584.59</v>
      </c>
      <c r="H35" s="543">
        <f>+J15</f>
        <v>13000</v>
      </c>
      <c r="I35" s="569">
        <f t="shared" si="5"/>
        <v>16000</v>
      </c>
      <c r="J35" s="572">
        <f t="shared" si="3"/>
        <v>3000</v>
      </c>
      <c r="K35" s="545">
        <f t="shared" si="4"/>
        <v>0.23080000000000001</v>
      </c>
      <c r="L35" s="538" t="s">
        <v>1556</v>
      </c>
      <c r="M35" s="539"/>
      <c r="N35" s="29"/>
      <c r="O35" s="29"/>
      <c r="P35" s="29"/>
    </row>
    <row r="36" spans="1:16" x14ac:dyDescent="0.2">
      <c r="A36" s="551">
        <v>5243</v>
      </c>
      <c r="B36" s="540" t="s">
        <v>193</v>
      </c>
      <c r="C36" s="544">
        <v>15167.36</v>
      </c>
      <c r="D36" s="536">
        <v>12103.44</v>
      </c>
      <c r="E36" s="536">
        <v>42549.06</v>
      </c>
      <c r="H36" s="543">
        <f>+J16</f>
        <v>25000</v>
      </c>
      <c r="I36" s="569">
        <f t="shared" si="5"/>
        <v>25000</v>
      </c>
      <c r="J36" s="572">
        <f t="shared" si="3"/>
        <v>0</v>
      </c>
      <c r="K36" s="545" t="str">
        <f t="shared" si="4"/>
        <v/>
      </c>
      <c r="L36" s="538"/>
      <c r="M36" s="539"/>
      <c r="N36" s="29"/>
      <c r="O36" s="29"/>
      <c r="P36" s="29"/>
    </row>
    <row r="37" spans="1:16" x14ac:dyDescent="0.2">
      <c r="A37" s="551">
        <v>5251</v>
      </c>
      <c r="B37" s="540" t="s">
        <v>162</v>
      </c>
      <c r="C37" s="544">
        <v>692.5</v>
      </c>
      <c r="D37" s="536">
        <v>0</v>
      </c>
      <c r="E37" s="536"/>
      <c r="H37" s="543">
        <f>+J17</f>
        <v>800</v>
      </c>
      <c r="I37" s="569">
        <f t="shared" si="5"/>
        <v>800</v>
      </c>
      <c r="J37" s="572">
        <f t="shared" si="3"/>
        <v>0</v>
      </c>
      <c r="K37" s="545" t="str">
        <f t="shared" si="4"/>
        <v/>
      </c>
      <c r="L37" s="538"/>
      <c r="M37" s="539"/>
      <c r="N37" s="29"/>
      <c r="O37" s="29"/>
      <c r="P37" s="29"/>
    </row>
    <row r="38" spans="1:16" x14ac:dyDescent="0.2">
      <c r="A38" s="551">
        <v>5430</v>
      </c>
      <c r="B38" s="540" t="s">
        <v>369</v>
      </c>
      <c r="C38" s="544">
        <v>1946.02</v>
      </c>
      <c r="D38" s="536">
        <v>2231.6999999999998</v>
      </c>
      <c r="E38" s="536">
        <v>1296.46</v>
      </c>
      <c r="H38" s="543">
        <f t="shared" ref="H38:H40" si="6">+J18</f>
        <v>3000</v>
      </c>
      <c r="I38" s="569">
        <f t="shared" si="5"/>
        <v>4000</v>
      </c>
      <c r="J38" s="572">
        <f t="shared" si="3"/>
        <v>1000</v>
      </c>
      <c r="K38" s="545">
        <f t="shared" si="4"/>
        <v>0.33329999999999999</v>
      </c>
      <c r="L38" s="538" t="s">
        <v>1556</v>
      </c>
      <c r="M38" s="539"/>
      <c r="N38" s="29"/>
      <c r="O38" s="29"/>
      <c r="P38" s="29"/>
    </row>
    <row r="39" spans="1:16" x14ac:dyDescent="0.2">
      <c r="A39" s="551">
        <v>5443</v>
      </c>
      <c r="B39" s="540" t="s">
        <v>196</v>
      </c>
      <c r="C39" s="544">
        <v>601.75</v>
      </c>
      <c r="D39" s="536">
        <v>526.84</v>
      </c>
      <c r="E39" s="536">
        <v>1059.18</v>
      </c>
      <c r="H39" s="543">
        <f t="shared" si="6"/>
        <v>2500</v>
      </c>
      <c r="I39" s="569">
        <f t="shared" si="5"/>
        <v>4000</v>
      </c>
      <c r="J39" s="572">
        <f t="shared" si="3"/>
        <v>1500</v>
      </c>
      <c r="K39" s="545">
        <f t="shared" si="4"/>
        <v>0.6</v>
      </c>
      <c r="L39" s="538" t="s">
        <v>1556</v>
      </c>
      <c r="M39" s="539"/>
      <c r="N39" s="29"/>
      <c r="O39" s="29"/>
      <c r="P39" s="29"/>
    </row>
    <row r="40" spans="1:16" ht="13.5" thickBot="1" x14ac:dyDescent="0.25">
      <c r="A40" s="551">
        <v>5451</v>
      </c>
      <c r="B40" s="540" t="s">
        <v>197</v>
      </c>
      <c r="C40" s="542">
        <v>5018.82</v>
      </c>
      <c r="D40" s="542">
        <v>5254.01</v>
      </c>
      <c r="E40" s="542">
        <v>5220.07</v>
      </c>
      <c r="H40" s="543">
        <f t="shared" si="6"/>
        <v>7500</v>
      </c>
      <c r="I40" s="569">
        <f t="shared" si="5"/>
        <v>8000</v>
      </c>
      <c r="J40" s="572">
        <f t="shared" si="3"/>
        <v>500</v>
      </c>
      <c r="K40" s="545">
        <f t="shared" si="4"/>
        <v>6.6699999999999995E-2</v>
      </c>
      <c r="L40" s="538" t="s">
        <v>1556</v>
      </c>
      <c r="M40" s="539"/>
      <c r="N40" s="29"/>
      <c r="O40" s="29"/>
      <c r="P40" s="29"/>
    </row>
    <row r="41" spans="1:16" x14ac:dyDescent="0.2">
      <c r="A41" s="4"/>
      <c r="B41" s="4"/>
      <c r="C41" s="25"/>
      <c r="D41" s="25"/>
      <c r="E41" s="25"/>
      <c r="F41" s="25"/>
      <c r="G41" s="25"/>
      <c r="H41" s="25"/>
      <c r="I41" s="25"/>
      <c r="J41" s="25"/>
      <c r="K41" s="4"/>
      <c r="L41" s="25"/>
      <c r="M41" s="25"/>
      <c r="N41" s="4"/>
      <c r="O41" s="4"/>
      <c r="P41" s="4"/>
    </row>
    <row r="42" spans="1:16" x14ac:dyDescent="0.2">
      <c r="A42" s="4"/>
      <c r="B42" s="4" t="s">
        <v>1600</v>
      </c>
      <c r="C42" s="25"/>
      <c r="D42" s="25"/>
      <c r="E42" s="25"/>
      <c r="F42" s="25"/>
      <c r="G42" s="25"/>
      <c r="H42" s="849">
        <f>SUM(H31:H41)</f>
        <v>180199</v>
      </c>
      <c r="I42" s="849">
        <f>SUM(I31:I41)</f>
        <v>190178</v>
      </c>
      <c r="J42" s="208">
        <f t="shared" ref="J42" si="7">+I42-H42</f>
        <v>9979</v>
      </c>
      <c r="K42" s="850">
        <f t="shared" ref="K42" si="8">IF(H42+I42&lt;&gt;0,IF(H42&lt;&gt;0,IF(J42&lt;&gt;0,ROUND((+J42/H42),4),""),1),"")</f>
        <v>5.5399999999999998E-2</v>
      </c>
      <c r="L42" s="25"/>
      <c r="M42" s="25"/>
      <c r="N42" s="4"/>
      <c r="O42" s="4"/>
      <c r="P42" s="4"/>
    </row>
    <row r="43" spans="1:16" x14ac:dyDescent="0.2">
      <c r="A43" s="4"/>
      <c r="B43" s="4"/>
      <c r="C43" s="25"/>
      <c r="D43" s="25"/>
      <c r="E43" s="25"/>
      <c r="F43" s="25"/>
      <c r="G43" s="25"/>
      <c r="H43" s="25"/>
      <c r="I43" s="25"/>
      <c r="J43" s="25"/>
      <c r="K43" s="4"/>
      <c r="L43" s="25"/>
      <c r="M43" s="25"/>
      <c r="N43" s="4"/>
      <c r="O43" s="4"/>
      <c r="P43" s="4"/>
    </row>
    <row r="44" spans="1:16" x14ac:dyDescent="0.2">
      <c r="A44" s="4"/>
      <c r="B44" s="4"/>
      <c r="C44" s="25"/>
      <c r="D44" s="25"/>
      <c r="E44" s="25"/>
      <c r="F44" s="25"/>
      <c r="G44" s="25"/>
      <c r="H44" s="25"/>
      <c r="I44" s="25"/>
      <c r="J44" s="25"/>
      <c r="K44" s="4"/>
      <c r="L44" s="25"/>
      <c r="M44" s="25"/>
      <c r="N44" s="4"/>
      <c r="O44" s="4"/>
      <c r="P44" s="4"/>
    </row>
    <row r="45" spans="1:16" x14ac:dyDescent="0.2">
      <c r="A45" s="4"/>
      <c r="B45" s="4"/>
      <c r="C45" s="25"/>
      <c r="D45" s="25"/>
      <c r="E45" s="25"/>
      <c r="F45" s="25"/>
      <c r="G45" s="25"/>
      <c r="H45" s="25"/>
      <c r="I45" s="25"/>
      <c r="J45" s="25"/>
      <c r="K45" s="4"/>
      <c r="L45" s="25"/>
      <c r="M45" s="25"/>
      <c r="N45" s="4"/>
      <c r="O45" s="4"/>
      <c r="P45" s="4"/>
    </row>
    <row r="46" spans="1:16" x14ac:dyDescent="0.2">
      <c r="A46" s="4"/>
      <c r="B46" s="4"/>
      <c r="C46" s="25"/>
      <c r="D46" s="25"/>
      <c r="E46" s="25"/>
      <c r="F46" s="25"/>
      <c r="G46" s="25"/>
      <c r="H46" s="25"/>
      <c r="I46" s="25"/>
      <c r="J46" s="25"/>
      <c r="K46" s="4"/>
      <c r="L46" s="25"/>
      <c r="M46" s="25"/>
      <c r="N46" s="4"/>
      <c r="O46" s="4"/>
      <c r="P46" s="4"/>
    </row>
    <row r="47" spans="1:16" x14ac:dyDescent="0.2">
      <c r="A47" s="4"/>
      <c r="B47" s="4"/>
      <c r="C47" s="25"/>
      <c r="D47" s="25"/>
      <c r="E47" s="25"/>
      <c r="F47" s="25"/>
      <c r="G47" s="25"/>
      <c r="H47" s="25"/>
      <c r="I47" s="25"/>
      <c r="J47" s="25"/>
      <c r="K47" s="4"/>
      <c r="L47" s="25"/>
      <c r="M47" s="25"/>
      <c r="N47" s="4"/>
      <c r="O47" s="4"/>
      <c r="P47" s="4"/>
    </row>
    <row r="48" spans="1:16" x14ac:dyDescent="0.2">
      <c r="A48" s="4"/>
      <c r="B48" s="4"/>
      <c r="C48" s="25"/>
      <c r="D48" s="25"/>
      <c r="E48" s="25"/>
      <c r="F48" s="25"/>
      <c r="G48" s="25"/>
      <c r="H48" s="25"/>
      <c r="I48" s="25"/>
      <c r="J48" s="25"/>
      <c r="K48" s="4"/>
      <c r="L48" s="25"/>
      <c r="M48" s="25"/>
      <c r="N48" s="4"/>
      <c r="O48" s="4"/>
      <c r="P48" s="4"/>
    </row>
    <row r="49" spans="1:16" x14ac:dyDescent="0.2">
      <c r="A49" s="4"/>
      <c r="B49" s="4"/>
      <c r="C49" s="25"/>
      <c r="D49" s="25"/>
      <c r="E49" s="25"/>
      <c r="F49" s="25"/>
      <c r="G49" s="25"/>
      <c r="H49" s="25"/>
      <c r="I49" s="25"/>
      <c r="J49" s="25"/>
      <c r="K49" s="4"/>
      <c r="L49" s="25"/>
      <c r="M49" s="25"/>
      <c r="N49" s="4"/>
      <c r="O49" s="4"/>
      <c r="P49" s="4"/>
    </row>
    <row r="50" spans="1:16" x14ac:dyDescent="0.2">
      <c r="A50" s="4"/>
      <c r="B50" s="4"/>
      <c r="C50" s="25"/>
      <c r="D50" s="25"/>
      <c r="E50" s="25"/>
      <c r="F50" s="25"/>
      <c r="G50" s="25"/>
      <c r="H50" s="25"/>
      <c r="I50" s="25"/>
      <c r="J50" s="25"/>
      <c r="K50" s="4"/>
      <c r="L50" s="25"/>
      <c r="M50" s="25"/>
      <c r="N50" s="4"/>
      <c r="O50" s="4"/>
      <c r="P50" s="4"/>
    </row>
    <row r="51" spans="1:16" x14ac:dyDescent="0.2">
      <c r="A51" s="4"/>
      <c r="B51" s="4"/>
      <c r="C51" s="25"/>
      <c r="D51" s="25"/>
      <c r="E51" s="25"/>
      <c r="F51" s="25"/>
      <c r="G51" s="25"/>
      <c r="H51" s="25"/>
      <c r="I51" s="25"/>
      <c r="J51" s="25"/>
      <c r="K51" s="4"/>
      <c r="L51" s="25"/>
      <c r="M51" s="25"/>
      <c r="N51" s="4"/>
      <c r="O51" s="4"/>
      <c r="P51" s="4"/>
    </row>
    <row r="52" spans="1:16" x14ac:dyDescent="0.2">
      <c r="A52" s="4"/>
      <c r="B52" s="4"/>
      <c r="C52" s="25"/>
      <c r="D52" s="25"/>
      <c r="E52" s="25"/>
      <c r="F52" s="25"/>
      <c r="G52" s="25"/>
      <c r="H52" s="25"/>
      <c r="I52" s="25"/>
      <c r="J52" s="25"/>
      <c r="K52" s="4"/>
      <c r="L52" s="25"/>
      <c r="M52" s="25"/>
      <c r="N52" s="4"/>
      <c r="O52" s="4"/>
      <c r="P52" s="4"/>
    </row>
    <row r="53" spans="1:16" x14ac:dyDescent="0.2">
      <c r="A53" s="4"/>
      <c r="B53" s="4"/>
      <c r="C53" s="25"/>
      <c r="D53" s="25"/>
      <c r="E53" s="25"/>
      <c r="F53" s="25"/>
      <c r="G53" s="25"/>
      <c r="H53" s="25"/>
      <c r="I53" s="25"/>
      <c r="J53" s="25"/>
      <c r="K53" s="4"/>
      <c r="L53" s="25"/>
      <c r="M53" s="25"/>
      <c r="N53" s="4"/>
      <c r="O53" s="4"/>
      <c r="P53" s="4"/>
    </row>
    <row r="54" spans="1:16" x14ac:dyDescent="0.2">
      <c r="A54" s="4"/>
      <c r="B54" s="4"/>
      <c r="C54" s="25"/>
      <c r="D54" s="25"/>
      <c r="E54" s="25"/>
      <c r="F54" s="25"/>
      <c r="G54" s="25"/>
      <c r="H54" s="25"/>
      <c r="I54" s="25"/>
      <c r="J54" s="25"/>
      <c r="K54" s="4"/>
      <c r="L54" s="25"/>
      <c r="M54" s="25"/>
      <c r="N54" s="4"/>
      <c r="O54" s="4"/>
      <c r="P54" s="4"/>
    </row>
    <row r="55" spans="1:16" x14ac:dyDescent="0.2">
      <c r="A55" s="4"/>
      <c r="B55" s="4"/>
      <c r="C55" s="25"/>
      <c r="D55" s="25"/>
      <c r="E55" s="25"/>
      <c r="F55" s="25"/>
      <c r="G55" s="25"/>
      <c r="H55" s="25"/>
      <c r="I55" s="25"/>
      <c r="J55" s="25"/>
      <c r="K55" s="4"/>
      <c r="L55" s="25"/>
      <c r="M55" s="25"/>
      <c r="N55" s="4"/>
      <c r="O55" s="4"/>
      <c r="P55" s="4"/>
    </row>
    <row r="56" spans="1:16" x14ac:dyDescent="0.2">
      <c r="A56" s="4"/>
      <c r="B56" s="4"/>
      <c r="C56" s="25"/>
      <c r="D56" s="25"/>
      <c r="E56" s="25"/>
      <c r="F56" s="25"/>
      <c r="G56" s="25"/>
      <c r="H56" s="25"/>
      <c r="I56" s="25"/>
      <c r="J56" s="25"/>
      <c r="K56" s="4"/>
      <c r="L56" s="25"/>
      <c r="M56" s="25"/>
      <c r="N56" s="4"/>
      <c r="O56" s="4"/>
      <c r="P56" s="4"/>
    </row>
    <row r="57" spans="1:16" x14ac:dyDescent="0.2">
      <c r="A57" s="4"/>
      <c r="B57" s="4"/>
      <c r="C57" s="25"/>
      <c r="D57" s="25"/>
      <c r="E57" s="25"/>
      <c r="F57" s="25"/>
      <c r="G57" s="25"/>
      <c r="H57" s="25"/>
      <c r="I57" s="25"/>
      <c r="J57" s="25"/>
      <c r="K57" s="4"/>
      <c r="L57" s="25"/>
      <c r="M57" s="25"/>
      <c r="N57" s="4"/>
      <c r="O57" s="4"/>
      <c r="P57" s="4"/>
    </row>
    <row r="58" spans="1:16" x14ac:dyDescent="0.2">
      <c r="A58" s="4"/>
      <c r="B58" s="4"/>
      <c r="C58" s="25"/>
      <c r="D58" s="25"/>
      <c r="E58" s="25"/>
      <c r="F58" s="25"/>
      <c r="G58" s="25"/>
      <c r="H58" s="25"/>
      <c r="I58" s="25"/>
      <c r="J58" s="25"/>
      <c r="K58" s="4"/>
      <c r="L58" s="25"/>
      <c r="M58" s="25"/>
      <c r="N58" s="4"/>
      <c r="O58" s="4"/>
      <c r="P58" s="4"/>
    </row>
    <row r="59" spans="1:16" x14ac:dyDescent="0.2">
      <c r="A59" s="4"/>
      <c r="B59" s="4"/>
      <c r="C59" s="25"/>
      <c r="D59" s="25"/>
      <c r="E59" s="25"/>
      <c r="F59" s="25"/>
      <c r="G59" s="25"/>
      <c r="H59" s="25"/>
      <c r="I59" s="25"/>
      <c r="J59" s="25"/>
      <c r="K59" s="4"/>
      <c r="L59" s="25"/>
      <c r="M59" s="25"/>
      <c r="N59" s="4"/>
      <c r="O59" s="4"/>
      <c r="P59" s="4"/>
    </row>
    <row r="60" spans="1:16" x14ac:dyDescent="0.2">
      <c r="A60" s="4"/>
      <c r="B60" s="4"/>
      <c r="C60" s="25"/>
      <c r="D60" s="25"/>
      <c r="E60" s="25"/>
      <c r="F60" s="25"/>
      <c r="G60" s="25"/>
      <c r="H60" s="25"/>
      <c r="I60" s="25"/>
      <c r="J60" s="25"/>
      <c r="K60" s="4"/>
      <c r="L60" s="25"/>
      <c r="M60" s="25"/>
      <c r="N60" s="4"/>
      <c r="O60" s="4"/>
      <c r="P60" s="4"/>
    </row>
    <row r="61" spans="1:16" x14ac:dyDescent="0.2">
      <c r="A61" s="4"/>
      <c r="B61" s="4"/>
      <c r="C61" s="25"/>
      <c r="D61" s="25"/>
      <c r="E61" s="25"/>
      <c r="F61" s="25"/>
      <c r="G61" s="25"/>
      <c r="H61" s="25"/>
      <c r="I61" s="25"/>
      <c r="J61" s="25"/>
      <c r="K61" s="4"/>
      <c r="L61" s="25"/>
      <c r="M61" s="25"/>
      <c r="N61" s="4"/>
      <c r="O61" s="4"/>
      <c r="P61" s="4"/>
    </row>
    <row r="62" spans="1:16" x14ac:dyDescent="0.2">
      <c r="A62" s="4"/>
      <c r="B62" s="4"/>
      <c r="C62" s="25"/>
      <c r="D62" s="25"/>
      <c r="E62" s="25"/>
      <c r="F62" s="25"/>
      <c r="G62" s="25"/>
      <c r="H62" s="25"/>
      <c r="I62" s="25"/>
      <c r="J62" s="25"/>
      <c r="K62" s="4"/>
      <c r="L62" s="25"/>
      <c r="M62" s="25"/>
      <c r="N62" s="4"/>
      <c r="O62" s="4"/>
      <c r="P62" s="4"/>
    </row>
    <row r="63" spans="1:16" x14ac:dyDescent="0.2">
      <c r="A63" s="4"/>
      <c r="B63" s="4"/>
      <c r="C63" s="25"/>
      <c r="D63" s="25"/>
      <c r="E63" s="25"/>
      <c r="F63" s="25"/>
      <c r="G63" s="25"/>
      <c r="H63" s="25"/>
      <c r="I63" s="25"/>
      <c r="J63" s="25"/>
      <c r="K63" s="4"/>
      <c r="L63" s="25"/>
      <c r="M63" s="25"/>
      <c r="N63" s="4"/>
      <c r="O63" s="4"/>
      <c r="P63" s="4"/>
    </row>
    <row r="64" spans="1:16" x14ac:dyDescent="0.2">
      <c r="A64" s="4"/>
      <c r="B64" s="4"/>
      <c r="C64" s="25"/>
      <c r="D64" s="25"/>
      <c r="E64" s="25"/>
      <c r="F64" s="25"/>
      <c r="G64" s="25"/>
      <c r="H64" s="25"/>
      <c r="I64" s="25"/>
      <c r="J64" s="25"/>
      <c r="K64" s="4"/>
      <c r="L64" s="25"/>
      <c r="M64" s="25"/>
      <c r="N64" s="4"/>
      <c r="O64" s="4"/>
      <c r="P64" s="4"/>
    </row>
    <row r="65" spans="1:16" x14ac:dyDescent="0.2">
      <c r="A65" s="4"/>
      <c r="B65" s="4"/>
      <c r="C65" s="25"/>
      <c r="D65" s="25"/>
      <c r="E65" s="25"/>
      <c r="F65" s="25"/>
      <c r="G65" s="25"/>
      <c r="H65" s="25"/>
      <c r="I65" s="25"/>
      <c r="J65" s="25"/>
      <c r="K65" s="4"/>
      <c r="L65" s="25"/>
      <c r="M65" s="25"/>
      <c r="N65" s="4"/>
      <c r="O65" s="4"/>
      <c r="P65" s="4"/>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C105" s="121"/>
    </row>
    <row r="106" spans="1:16" x14ac:dyDescent="0.2">
      <c r="C106" s="121"/>
    </row>
    <row r="107" spans="1:16" x14ac:dyDescent="0.2">
      <c r="C107" s="121"/>
    </row>
    <row r="108" spans="1:16" x14ac:dyDescent="0.2">
      <c r="C108" s="121"/>
    </row>
    <row r="109" spans="1:16" x14ac:dyDescent="0.2">
      <c r="C109" s="121"/>
    </row>
    <row r="110" spans="1:16" x14ac:dyDescent="0.2">
      <c r="C110" s="121"/>
    </row>
    <row r="111" spans="1:16" x14ac:dyDescent="0.2">
      <c r="C111" s="121"/>
    </row>
    <row r="112" spans="1:16"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row r="128" spans="3:3"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sheetData>
  <phoneticPr fontId="0" type="noConversion"/>
  <hyperlinks>
    <hyperlink ref="A1" location="'420 DPW'!A1" display="Main 440"/>
    <hyperlink ref="B1" location="'Table of Contents'!A1" display="TOC"/>
  </hyperlinks>
  <pageMargins left="0.75" right="0.75" top="1" bottom="1" header="0.5" footer="0.5"/>
  <pageSetup fitToHeight="2" orientation="landscape" horizontalDpi="300" verticalDpi="300" r:id="rId1"/>
  <headerFooter alignWithMargins="0">
    <oddFooter>&amp;L&amp;D&amp;T&amp;C&amp;F&amp;R&amp;A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7"/>
  <sheetViews>
    <sheetView zoomScale="85" workbookViewId="0">
      <pane ySplit="7" topLeftCell="A8" activePane="bottomLeft" state="frozen"/>
      <selection activeCell="K15" sqref="K15"/>
      <selection pane="bottomLeft" activeCell="L9" sqref="L9"/>
    </sheetView>
  </sheetViews>
  <sheetFormatPr defaultRowHeight="12.75" x14ac:dyDescent="0.2"/>
  <cols>
    <col min="1" max="1" width="12" bestFit="1" customWidth="1"/>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1014</v>
      </c>
      <c r="B1" s="410" t="s">
        <v>1418</v>
      </c>
    </row>
    <row r="2" spans="1:16" ht="15" x14ac:dyDescent="0.25">
      <c r="A2" s="49" t="s">
        <v>257</v>
      </c>
      <c r="B2" s="49"/>
      <c r="C2" s="153" t="s">
        <v>252</v>
      </c>
      <c r="E2" s="153"/>
      <c r="H2" s="153" t="s">
        <v>86</v>
      </c>
      <c r="I2" s="153"/>
      <c r="J2" s="153"/>
      <c r="K2" s="1"/>
      <c r="M2" s="50" t="s">
        <v>488</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10"/>
      <c r="B8" s="192"/>
      <c r="C8" s="139"/>
      <c r="D8" s="345"/>
      <c r="E8" s="345"/>
      <c r="F8" s="345"/>
      <c r="G8" s="345"/>
      <c r="H8" s="345"/>
      <c r="I8" s="345"/>
      <c r="J8" s="177"/>
      <c r="K8" s="68"/>
      <c r="L8" s="11"/>
      <c r="M8" s="11"/>
    </row>
    <row r="9" spans="1:16" x14ac:dyDescent="0.2">
      <c r="A9" s="12">
        <v>5112</v>
      </c>
      <c r="B9" s="69" t="s">
        <v>154</v>
      </c>
      <c r="C9" s="460">
        <v>544527.98</v>
      </c>
      <c r="D9" s="14">
        <f>165.7+562801.37+6191.59</f>
        <v>569158.65999999992</v>
      </c>
      <c r="E9" s="156">
        <v>540718.27</v>
      </c>
      <c r="F9" s="156">
        <v>563154.73</v>
      </c>
      <c r="G9" s="156">
        <v>552355.14</v>
      </c>
      <c r="H9" s="156">
        <v>574134.86</v>
      </c>
      <c r="I9" s="14">
        <v>575220.31999999995</v>
      </c>
      <c r="J9" s="15">
        <f>5460+14049+3054+3214+622231</f>
        <v>648008</v>
      </c>
      <c r="K9" s="14">
        <v>301498.65999999997</v>
      </c>
      <c r="L9" s="15">
        <f>ROUND((SUM('420 DPW'!K69:K89)-'192 Public Bldgs'!L9-'652 Parks'!L9-'433 Solid Waste'!L10),0)</f>
        <v>653676</v>
      </c>
      <c r="M9" s="15"/>
    </row>
    <row r="10" spans="1:16" x14ac:dyDescent="0.2">
      <c r="A10" s="12">
        <v>5132</v>
      </c>
      <c r="B10" s="69" t="s">
        <v>186</v>
      </c>
      <c r="C10" s="460">
        <f>232.1+5303.32</f>
        <v>5535.42</v>
      </c>
      <c r="D10" s="14">
        <f>136.61+5676.65</f>
        <v>5813.2599999999993</v>
      </c>
      <c r="E10" s="156">
        <v>4186.1000000000004</v>
      </c>
      <c r="F10" s="156">
        <v>3549.91</v>
      </c>
      <c r="G10" s="156">
        <v>5071.6400000000003</v>
      </c>
      <c r="H10" s="156">
        <v>3526.98</v>
      </c>
      <c r="I10" s="14">
        <v>8376.17</v>
      </c>
      <c r="J10" s="15">
        <v>7000</v>
      </c>
      <c r="K10" s="14">
        <v>3744.9</v>
      </c>
      <c r="L10" s="15">
        <v>9000</v>
      </c>
      <c r="M10" s="15"/>
    </row>
    <row r="11" spans="1:16" x14ac:dyDescent="0.2">
      <c r="A11" s="12">
        <v>5142</v>
      </c>
      <c r="B11" s="69" t="s">
        <v>58</v>
      </c>
      <c r="C11" s="804">
        <v>5672.24</v>
      </c>
      <c r="D11" s="39">
        <f>19.09+5997.6</f>
        <v>6016.6900000000005</v>
      </c>
      <c r="E11" s="244">
        <v>6103.83</v>
      </c>
      <c r="F11" s="244">
        <v>6067.31</v>
      </c>
      <c r="G11" s="244">
        <v>7744.66</v>
      </c>
      <c r="H11" s="244">
        <v>10630.82</v>
      </c>
      <c r="I11" s="39">
        <v>11076.36</v>
      </c>
      <c r="J11" s="40">
        <f>1588+11000</f>
        <v>12588</v>
      </c>
      <c r="K11" s="39">
        <v>8033.13</v>
      </c>
      <c r="L11" s="40">
        <v>15000</v>
      </c>
      <c r="M11" s="40"/>
    </row>
    <row r="12" spans="1:16" x14ac:dyDescent="0.2">
      <c r="A12" s="12">
        <v>5144</v>
      </c>
      <c r="B12" s="69" t="s">
        <v>152</v>
      </c>
      <c r="C12" s="460">
        <v>2600</v>
      </c>
      <c r="D12" s="14">
        <v>3750</v>
      </c>
      <c r="E12" s="156">
        <v>3000</v>
      </c>
      <c r="F12" s="156">
        <v>2200</v>
      </c>
      <c r="G12" s="156">
        <v>4140</v>
      </c>
      <c r="H12" s="156">
        <v>3620</v>
      </c>
      <c r="I12" s="14">
        <v>3640</v>
      </c>
      <c r="J12" s="15">
        <f>710+2790</f>
        <v>3500</v>
      </c>
      <c r="K12" s="14">
        <v>2000</v>
      </c>
      <c r="L12" s="15">
        <f>+'420 DPW'!L89</f>
        <v>3000</v>
      </c>
      <c r="M12" s="15"/>
    </row>
    <row r="13" spans="1:16" x14ac:dyDescent="0.2">
      <c r="A13" s="12">
        <v>5145</v>
      </c>
      <c r="B13" s="69" t="s">
        <v>597</v>
      </c>
      <c r="C13" s="460">
        <v>600.08000000000004</v>
      </c>
      <c r="D13" s="14">
        <v>842.42</v>
      </c>
      <c r="E13" s="156">
        <v>1200.1600000000001</v>
      </c>
      <c r="F13" s="156">
        <v>1223.24</v>
      </c>
      <c r="G13" s="156">
        <v>1119.3800000000001</v>
      </c>
      <c r="H13" s="156">
        <v>946.28</v>
      </c>
      <c r="I13" s="14">
        <v>1488.66</v>
      </c>
      <c r="J13" s="15">
        <v>1525</v>
      </c>
      <c r="K13" s="14">
        <v>721.25</v>
      </c>
      <c r="L13" s="15">
        <v>1525</v>
      </c>
      <c r="M13" s="15"/>
    </row>
    <row r="14" spans="1:16" x14ac:dyDescent="0.2">
      <c r="A14" s="12">
        <v>5193</v>
      </c>
      <c r="B14" s="69" t="s">
        <v>695</v>
      </c>
      <c r="C14" s="460"/>
      <c r="D14" s="14"/>
      <c r="E14" s="156">
        <v>9799.56</v>
      </c>
      <c r="F14" s="156"/>
      <c r="G14" s="156">
        <v>2150.5</v>
      </c>
      <c r="H14" s="156">
        <v>4111.34</v>
      </c>
      <c r="I14" s="14">
        <v>8358</v>
      </c>
      <c r="J14" s="15">
        <v>5500</v>
      </c>
      <c r="K14" s="14">
        <v>4728</v>
      </c>
      <c r="L14" s="15">
        <v>0</v>
      </c>
      <c r="M14" s="15"/>
    </row>
    <row r="15" spans="1:16" ht="13.5" thickBot="1" x14ac:dyDescent="0.25">
      <c r="A15" s="12">
        <v>5194</v>
      </c>
      <c r="B15" s="69" t="s">
        <v>221</v>
      </c>
      <c r="C15" s="818"/>
      <c r="D15" s="41"/>
      <c r="E15" s="350">
        <v>5134.3</v>
      </c>
      <c r="F15" s="350"/>
      <c r="G15" s="350">
        <v>1553.75</v>
      </c>
      <c r="H15" s="350">
        <v>7000</v>
      </c>
      <c r="I15" s="41">
        <v>3500</v>
      </c>
      <c r="J15" s="42">
        <v>680</v>
      </c>
      <c r="K15" s="41">
        <v>709.2</v>
      </c>
      <c r="L15" s="42">
        <v>0</v>
      </c>
      <c r="M15" s="42"/>
    </row>
    <row r="16" spans="1:16" x14ac:dyDescent="0.2">
      <c r="A16" s="12"/>
      <c r="B16" s="70" t="s">
        <v>125</v>
      </c>
      <c r="C16" s="461">
        <f t="shared" ref="C16:M16" si="0">SUM(C9:C15)</f>
        <v>558935.72</v>
      </c>
      <c r="D16" s="19">
        <f t="shared" si="0"/>
        <v>585581.02999999991</v>
      </c>
      <c r="E16" s="19">
        <f t="shared" si="0"/>
        <v>570142.22000000009</v>
      </c>
      <c r="F16" s="19">
        <f>SUM(F9:F15)</f>
        <v>576195.19000000006</v>
      </c>
      <c r="G16" s="19">
        <f>SUM(G9:G15)</f>
        <v>574135.07000000007</v>
      </c>
      <c r="H16" s="19">
        <f>SUM(H9:H15)</f>
        <v>603970.27999999991</v>
      </c>
      <c r="I16" s="19">
        <f>SUM(I9:I15)</f>
        <v>611659.51</v>
      </c>
      <c r="J16" s="38">
        <f>SUM(J9:J15)</f>
        <v>678801</v>
      </c>
      <c r="K16" s="19">
        <f t="shared" si="0"/>
        <v>321435.14</v>
      </c>
      <c r="L16" s="38">
        <f>SUM(L9:L15)</f>
        <v>682201</v>
      </c>
      <c r="M16" s="38">
        <f t="shared" si="0"/>
        <v>0</v>
      </c>
    </row>
    <row r="17" spans="1:13" x14ac:dyDescent="0.2">
      <c r="A17" s="12"/>
      <c r="B17" s="69"/>
      <c r="C17" s="460"/>
      <c r="D17" s="14"/>
      <c r="E17" s="14"/>
      <c r="F17" s="14"/>
      <c r="G17" s="14"/>
      <c r="H17" s="14"/>
      <c r="I17" s="14"/>
      <c r="J17" s="15"/>
      <c r="K17" s="14"/>
      <c r="L17" s="15"/>
      <c r="M17" s="15"/>
    </row>
    <row r="18" spans="1:13" x14ac:dyDescent="0.2">
      <c r="A18" s="12">
        <v>5242</v>
      </c>
      <c r="B18" s="69" t="s">
        <v>192</v>
      </c>
      <c r="C18" s="460"/>
      <c r="D18" s="19">
        <v>1665</v>
      </c>
      <c r="E18" s="136">
        <v>687.54</v>
      </c>
      <c r="F18" s="136">
        <v>402.95</v>
      </c>
      <c r="G18" s="136">
        <v>4779.55</v>
      </c>
      <c r="H18" s="136">
        <v>537.5</v>
      </c>
      <c r="I18" s="136">
        <v>1744.45</v>
      </c>
      <c r="J18" s="134">
        <v>3500</v>
      </c>
      <c r="K18" s="19">
        <v>945.6</v>
      </c>
      <c r="L18" s="134">
        <v>3500</v>
      </c>
      <c r="M18" s="134"/>
    </row>
    <row r="19" spans="1:13" x14ac:dyDescent="0.2">
      <c r="A19" s="12">
        <v>5245</v>
      </c>
      <c r="B19" s="13" t="s">
        <v>178</v>
      </c>
      <c r="C19" s="156">
        <v>15640.85</v>
      </c>
      <c r="D19" s="19">
        <v>20923.13</v>
      </c>
      <c r="E19" s="136">
        <v>22296.94</v>
      </c>
      <c r="F19" s="136">
        <v>34754.76</v>
      </c>
      <c r="G19" s="136">
        <v>23394.59</v>
      </c>
      <c r="H19" s="136">
        <v>24713.51</v>
      </c>
      <c r="I19" s="136">
        <v>17661.330000000002</v>
      </c>
      <c r="J19" s="134">
        <v>30000</v>
      </c>
      <c r="K19" s="19">
        <v>13174.14</v>
      </c>
      <c r="L19" s="134">
        <v>30000</v>
      </c>
      <c r="M19" s="134"/>
    </row>
    <row r="20" spans="1:13" x14ac:dyDescent="0.2">
      <c r="A20" s="12">
        <v>5248</v>
      </c>
      <c r="B20" s="13" t="s">
        <v>1163</v>
      </c>
      <c r="C20" s="156"/>
      <c r="D20" s="19">
        <v>0</v>
      </c>
      <c r="E20" s="136">
        <v>503.29</v>
      </c>
      <c r="F20" s="136">
        <v>88</v>
      </c>
      <c r="G20" s="136"/>
      <c r="H20" s="136">
        <v>264</v>
      </c>
      <c r="I20" s="136">
        <v>0</v>
      </c>
      <c r="J20" s="134">
        <v>4200</v>
      </c>
      <c r="K20" s="19"/>
      <c r="L20" s="134">
        <v>4200</v>
      </c>
      <c r="M20" s="134"/>
    </row>
    <row r="21" spans="1:13" x14ac:dyDescent="0.2">
      <c r="A21" s="12">
        <v>5251</v>
      </c>
      <c r="B21" s="13" t="s">
        <v>162</v>
      </c>
      <c r="C21" s="342">
        <v>2288.5700000000002</v>
      </c>
      <c r="D21" s="19">
        <v>3552.43</v>
      </c>
      <c r="E21" s="136">
        <v>5595.84</v>
      </c>
      <c r="F21" s="136">
        <v>5335.59</v>
      </c>
      <c r="G21" s="136">
        <v>3066.56</v>
      </c>
      <c r="H21" s="136">
        <v>5616.81</v>
      </c>
      <c r="I21" s="136">
        <f>428.65+6818.24</f>
        <v>7246.8899999999994</v>
      </c>
      <c r="J21" s="134">
        <v>4500</v>
      </c>
      <c r="K21" s="19">
        <v>1533.68</v>
      </c>
      <c r="L21" s="134">
        <v>4500</v>
      </c>
      <c r="M21" s="134"/>
    </row>
    <row r="22" spans="1:13" hidden="1" x14ac:dyDescent="0.2">
      <c r="A22" s="12">
        <v>5277</v>
      </c>
      <c r="B22" s="13" t="s">
        <v>201</v>
      </c>
      <c r="C22" s="156"/>
      <c r="D22" s="19">
        <v>0</v>
      </c>
      <c r="E22" s="136"/>
      <c r="F22" s="136"/>
      <c r="G22" s="136"/>
      <c r="H22" s="136"/>
      <c r="I22" s="136"/>
      <c r="J22" s="134"/>
      <c r="K22" s="19"/>
      <c r="L22" s="134"/>
      <c r="M22" s="134"/>
    </row>
    <row r="23" spans="1:13" x14ac:dyDescent="0.2">
      <c r="A23" s="12">
        <v>5278</v>
      </c>
      <c r="B23" s="13" t="s">
        <v>439</v>
      </c>
      <c r="C23" s="156">
        <v>6254.36</v>
      </c>
      <c r="D23" s="19">
        <v>7210.2</v>
      </c>
      <c r="E23" s="136">
        <v>7337.82</v>
      </c>
      <c r="F23" s="136">
        <v>9576.67</v>
      </c>
      <c r="G23" s="136">
        <v>11297.29</v>
      </c>
      <c r="H23" s="136">
        <v>10913.81</v>
      </c>
      <c r="I23" s="136">
        <v>12262.49</v>
      </c>
      <c r="J23" s="134">
        <f>-2060+15500</f>
        <v>13440</v>
      </c>
      <c r="K23" s="19">
        <v>9959.7000000000007</v>
      </c>
      <c r="L23" s="134">
        <v>0</v>
      </c>
      <c r="M23" s="134"/>
    </row>
    <row r="24" spans="1:13" x14ac:dyDescent="0.2">
      <c r="A24" s="12">
        <v>5310</v>
      </c>
      <c r="B24" s="13" t="s">
        <v>199</v>
      </c>
      <c r="C24" s="156">
        <v>1659.5</v>
      </c>
      <c r="D24" s="19">
        <v>1863</v>
      </c>
      <c r="E24" s="136">
        <v>1535</v>
      </c>
      <c r="F24" s="136">
        <v>1775.1</v>
      </c>
      <c r="G24" s="136">
        <v>2491</v>
      </c>
      <c r="H24" s="136">
        <v>10389.34</v>
      </c>
      <c r="I24" s="136">
        <v>5775</v>
      </c>
      <c r="J24" s="134">
        <v>3500</v>
      </c>
      <c r="K24" s="19">
        <v>2656</v>
      </c>
      <c r="L24" s="134">
        <v>5000</v>
      </c>
      <c r="M24" s="134"/>
    </row>
    <row r="25" spans="1:13" x14ac:dyDescent="0.2">
      <c r="A25" s="12">
        <v>5314</v>
      </c>
      <c r="B25" s="13" t="s">
        <v>134</v>
      </c>
      <c r="C25" s="156">
        <v>35</v>
      </c>
      <c r="D25" s="19">
        <v>65</v>
      </c>
      <c r="E25" s="136">
        <v>80</v>
      </c>
      <c r="F25" s="136">
        <v>100</v>
      </c>
      <c r="G25" s="136">
        <v>2040</v>
      </c>
      <c r="H25" s="136">
        <v>40</v>
      </c>
      <c r="I25" s="136">
        <v>210</v>
      </c>
      <c r="J25" s="134">
        <v>200</v>
      </c>
      <c r="K25" s="19">
        <v>100</v>
      </c>
      <c r="L25" s="134">
        <v>200</v>
      </c>
      <c r="M25" s="134"/>
    </row>
    <row r="26" spans="1:13" x14ac:dyDescent="0.2">
      <c r="A26" s="12">
        <v>5315</v>
      </c>
      <c r="B26" s="13" t="s">
        <v>127</v>
      </c>
      <c r="C26" s="156">
        <v>24208.71</v>
      </c>
      <c r="D26" s="19">
        <v>21600.63</v>
      </c>
      <c r="E26" s="136">
        <v>27572.84</v>
      </c>
      <c r="F26" s="136">
        <v>29246.78</v>
      </c>
      <c r="G26" s="136">
        <f>40225.88-G27</f>
        <v>20041.039999999997</v>
      </c>
      <c r="H26" s="136">
        <f>32602.13-H27</f>
        <v>14179.400000000001</v>
      </c>
      <c r="I26" s="136">
        <v>22930.35</v>
      </c>
      <c r="J26" s="134">
        <v>18000</v>
      </c>
      <c r="K26" s="19">
        <v>5975.69</v>
      </c>
      <c r="L26" s="134">
        <v>18000</v>
      </c>
      <c r="M26" s="134"/>
    </row>
    <row r="27" spans="1:13" x14ac:dyDescent="0.2">
      <c r="A27" s="12">
        <v>5320</v>
      </c>
      <c r="B27" s="13" t="s">
        <v>1257</v>
      </c>
      <c r="C27" s="156"/>
      <c r="D27" s="19"/>
      <c r="E27" s="136"/>
      <c r="F27" s="136"/>
      <c r="G27" s="136">
        <v>20184.84</v>
      </c>
      <c r="H27" s="136">
        <v>18422.73</v>
      </c>
      <c r="I27" s="136">
        <v>19083.580000000002</v>
      </c>
      <c r="J27" s="134">
        <v>20000</v>
      </c>
      <c r="K27" s="19">
        <v>16987.11</v>
      </c>
      <c r="L27" s="134">
        <v>22000</v>
      </c>
      <c r="M27" s="134"/>
    </row>
    <row r="28" spans="1:13" x14ac:dyDescent="0.2">
      <c r="A28" s="12">
        <v>5341</v>
      </c>
      <c r="B28" s="13" t="s">
        <v>1161</v>
      </c>
      <c r="C28" s="156">
        <v>3078.49</v>
      </c>
      <c r="D28" s="19">
        <v>3210.87</v>
      </c>
      <c r="E28" s="136">
        <v>3419.12</v>
      </c>
      <c r="F28" s="136">
        <v>3544.05</v>
      </c>
      <c r="G28" s="136">
        <v>3468.11</v>
      </c>
      <c r="H28" s="136">
        <v>1848.31</v>
      </c>
      <c r="I28" s="136">
        <v>1750.2</v>
      </c>
      <c r="J28" s="134">
        <v>3500</v>
      </c>
      <c r="K28" s="19">
        <v>734.25</v>
      </c>
      <c r="L28" s="134">
        <v>3500</v>
      </c>
      <c r="M28" s="134"/>
    </row>
    <row r="29" spans="1:13" x14ac:dyDescent="0.2">
      <c r="A29" s="12">
        <v>5344</v>
      </c>
      <c r="B29" s="13" t="s">
        <v>137</v>
      </c>
      <c r="C29" s="244">
        <v>60.4</v>
      </c>
      <c r="D29" s="19">
        <v>78.47</v>
      </c>
      <c r="E29" s="136">
        <v>55</v>
      </c>
      <c r="F29" s="136">
        <v>28.15</v>
      </c>
      <c r="G29" s="136">
        <v>20.82</v>
      </c>
      <c r="H29" s="136">
        <v>58.25</v>
      </c>
      <c r="I29" s="136">
        <v>31.22</v>
      </c>
      <c r="J29" s="134">
        <v>100</v>
      </c>
      <c r="K29" s="19"/>
      <c r="L29" s="134">
        <v>100</v>
      </c>
      <c r="M29" s="134"/>
    </row>
    <row r="30" spans="1:13" x14ac:dyDescent="0.2">
      <c r="A30" s="12">
        <v>5345</v>
      </c>
      <c r="B30" s="13" t="s">
        <v>138</v>
      </c>
      <c r="C30" s="156">
        <v>50.81</v>
      </c>
      <c r="D30" s="19">
        <v>237.71</v>
      </c>
      <c r="E30" s="136">
        <v>835.56</v>
      </c>
      <c r="F30" s="136">
        <v>1284.3399999999999</v>
      </c>
      <c r="G30" s="136">
        <v>1533.36</v>
      </c>
      <c r="H30" s="136">
        <v>1075.22</v>
      </c>
      <c r="I30" s="136">
        <v>3390.59</v>
      </c>
      <c r="J30" s="134">
        <v>1500</v>
      </c>
      <c r="K30" s="19">
        <v>1473.04</v>
      </c>
      <c r="L30" s="134">
        <v>2500</v>
      </c>
      <c r="M30" s="134"/>
    </row>
    <row r="31" spans="1:13" x14ac:dyDescent="0.2">
      <c r="A31" s="12">
        <v>5420</v>
      </c>
      <c r="B31" s="13" t="s">
        <v>139</v>
      </c>
      <c r="C31" s="136">
        <v>965.81</v>
      </c>
      <c r="D31" s="19">
        <v>694.26</v>
      </c>
      <c r="E31" s="136">
        <v>1611.93</v>
      </c>
      <c r="F31" s="136">
        <v>1141.1500000000001</v>
      </c>
      <c r="G31" s="136">
        <v>953.7</v>
      </c>
      <c r="H31" s="136">
        <v>1938.24</v>
      </c>
      <c r="I31" s="136">
        <v>1793.4</v>
      </c>
      <c r="J31" s="134">
        <v>1500</v>
      </c>
      <c r="K31" s="19">
        <v>217.09</v>
      </c>
      <c r="L31" s="134">
        <v>1750</v>
      </c>
      <c r="M31" s="134"/>
    </row>
    <row r="32" spans="1:13" x14ac:dyDescent="0.2">
      <c r="A32" s="12">
        <v>5430</v>
      </c>
      <c r="B32" s="13" t="s">
        <v>369</v>
      </c>
      <c r="C32" s="156">
        <v>680.13</v>
      </c>
      <c r="D32" s="19">
        <v>738.74</v>
      </c>
      <c r="E32" s="136">
        <v>671.33</v>
      </c>
      <c r="F32" s="136">
        <v>398.72</v>
      </c>
      <c r="G32" s="136">
        <v>4603.57</v>
      </c>
      <c r="H32" s="136">
        <v>440.97</v>
      </c>
      <c r="I32" s="136">
        <v>519.57000000000005</v>
      </c>
      <c r="J32" s="134">
        <v>2500</v>
      </c>
      <c r="K32" s="19">
        <v>351.64</v>
      </c>
      <c r="L32" s="134">
        <v>2500</v>
      </c>
      <c r="M32" s="134"/>
    </row>
    <row r="33" spans="1:17" hidden="1" x14ac:dyDescent="0.2">
      <c r="A33" s="12">
        <v>5432</v>
      </c>
      <c r="B33" s="13" t="s">
        <v>453</v>
      </c>
      <c r="C33" s="156">
        <v>37.119999999999997</v>
      </c>
      <c r="D33" s="19">
        <v>13.95</v>
      </c>
      <c r="E33" s="136"/>
      <c r="F33" s="136">
        <v>55.85</v>
      </c>
      <c r="G33" s="136"/>
      <c r="H33" s="136"/>
      <c r="I33" s="136"/>
      <c r="J33" s="134"/>
      <c r="K33" s="14"/>
      <c r="L33" s="134"/>
      <c r="M33" s="134"/>
    </row>
    <row r="34" spans="1:17" x14ac:dyDescent="0.2">
      <c r="A34" s="12">
        <v>5435</v>
      </c>
      <c r="B34" s="13" t="s">
        <v>368</v>
      </c>
      <c r="C34" s="136">
        <v>2223.06</v>
      </c>
      <c r="D34" s="19">
        <v>1519.3</v>
      </c>
      <c r="E34" s="136">
        <v>2230.3200000000002</v>
      </c>
      <c r="F34" s="136">
        <v>3011.96</v>
      </c>
      <c r="G34" s="136">
        <v>2113.88</v>
      </c>
      <c r="H34" s="136">
        <v>6885.49</v>
      </c>
      <c r="I34" s="136">
        <v>3971.26</v>
      </c>
      <c r="J34" s="134">
        <v>4000</v>
      </c>
      <c r="K34" s="19">
        <v>4787.4399999999996</v>
      </c>
      <c r="L34" s="134">
        <v>5000</v>
      </c>
      <c r="M34" s="134"/>
    </row>
    <row r="35" spans="1:17" x14ac:dyDescent="0.2">
      <c r="A35" s="12">
        <v>5440</v>
      </c>
      <c r="B35" s="13" t="s">
        <v>202</v>
      </c>
      <c r="C35" s="156">
        <v>4022.66</v>
      </c>
      <c r="D35" s="19">
        <v>4443.3500000000004</v>
      </c>
      <c r="E35" s="136">
        <v>6122.27</v>
      </c>
      <c r="F35" s="136">
        <v>4464.0600000000004</v>
      </c>
      <c r="G35" s="136">
        <v>2584.31</v>
      </c>
      <c r="H35" s="136">
        <v>8262.68</v>
      </c>
      <c r="I35" s="136">
        <v>5721.25</v>
      </c>
      <c r="J35" s="134">
        <v>6000</v>
      </c>
      <c r="K35" s="19">
        <v>3138.97</v>
      </c>
      <c r="L35" s="134">
        <v>7000</v>
      </c>
      <c r="M35" s="134"/>
    </row>
    <row r="36" spans="1:17" x14ac:dyDescent="0.2">
      <c r="A36" s="12">
        <v>5443</v>
      </c>
      <c r="B36" s="13" t="s">
        <v>196</v>
      </c>
      <c r="C36" s="156">
        <v>16245.85</v>
      </c>
      <c r="D36" s="19">
        <v>20320.52</v>
      </c>
      <c r="E36" s="136">
        <v>16077.74</v>
      </c>
      <c r="F36" s="136">
        <v>42904.99</v>
      </c>
      <c r="G36" s="136">
        <v>20066.259999999998</v>
      </c>
      <c r="H36" s="136">
        <v>25480.45</v>
      </c>
      <c r="I36" s="136">
        <v>26714.95</v>
      </c>
      <c r="J36" s="134">
        <v>30000</v>
      </c>
      <c r="K36" s="19">
        <v>22412.29</v>
      </c>
      <c r="L36" s="134">
        <v>35000</v>
      </c>
      <c r="M36" s="134"/>
      <c r="Q36" s="59"/>
    </row>
    <row r="37" spans="1:17" x14ac:dyDescent="0.2">
      <c r="A37" s="12">
        <v>5481</v>
      </c>
      <c r="B37" s="13" t="s">
        <v>165</v>
      </c>
      <c r="C37" s="156">
        <v>23072.400000000001</v>
      </c>
      <c r="D37" s="14">
        <v>32924.959999999999</v>
      </c>
      <c r="E37" s="156">
        <v>27697.48</v>
      </c>
      <c r="F37" s="156">
        <v>18370.16</v>
      </c>
      <c r="G37" s="156">
        <v>11746.54</v>
      </c>
      <c r="H37" s="156">
        <v>27057.85</v>
      </c>
      <c r="I37" s="156">
        <v>32961.730000000003</v>
      </c>
      <c r="J37" s="132">
        <v>40000</v>
      </c>
      <c r="K37" s="19">
        <v>20622.63</v>
      </c>
      <c r="L37" s="132">
        <v>45000</v>
      </c>
      <c r="M37" s="132"/>
      <c r="P37" s="208"/>
      <c r="Q37" s="59"/>
    </row>
    <row r="38" spans="1:17" x14ac:dyDescent="0.2">
      <c r="A38" s="12">
        <v>5482</v>
      </c>
      <c r="B38" s="13" t="s">
        <v>203</v>
      </c>
      <c r="C38" s="156">
        <v>55086.99</v>
      </c>
      <c r="D38" s="14">
        <v>73803.73</v>
      </c>
      <c r="E38" s="156">
        <v>75053.789999999994</v>
      </c>
      <c r="F38" s="156">
        <v>49247.73</v>
      </c>
      <c r="G38" s="156">
        <v>30907.05</v>
      </c>
      <c r="H38" s="156">
        <v>32653.5</v>
      </c>
      <c r="I38" s="156">
        <v>50089.25</v>
      </c>
      <c r="J38" s="132">
        <v>54000</v>
      </c>
      <c r="K38" s="19">
        <v>28825.4</v>
      </c>
      <c r="L38" s="132">
        <v>60000</v>
      </c>
      <c r="M38" s="132"/>
      <c r="P38" s="208"/>
      <c r="Q38" s="59"/>
    </row>
    <row r="39" spans="1:17" x14ac:dyDescent="0.2">
      <c r="A39" s="12">
        <v>5484</v>
      </c>
      <c r="B39" s="13" t="s">
        <v>331</v>
      </c>
      <c r="C39" s="156">
        <v>41019.53</v>
      </c>
      <c r="D39" s="19">
        <v>46732</v>
      </c>
      <c r="E39" s="136">
        <v>75705.59</v>
      </c>
      <c r="F39" s="136">
        <v>71319.490000000005</v>
      </c>
      <c r="G39" s="136">
        <v>70335.48</v>
      </c>
      <c r="H39" s="136">
        <v>78729.27</v>
      </c>
      <c r="I39" s="136">
        <f>33.5+89540.21</f>
        <v>89573.71</v>
      </c>
      <c r="J39" s="134">
        <v>75000</v>
      </c>
      <c r="K39" s="19">
        <v>34710.980000000003</v>
      </c>
      <c r="L39" s="134">
        <v>80000</v>
      </c>
      <c r="M39" s="134"/>
      <c r="P39" s="2"/>
    </row>
    <row r="40" spans="1:17" x14ac:dyDescent="0.2">
      <c r="A40" s="12">
        <v>5500</v>
      </c>
      <c r="B40" s="13" t="s">
        <v>166</v>
      </c>
      <c r="C40" s="156"/>
      <c r="D40" s="19"/>
      <c r="E40" s="136">
        <v>11.94</v>
      </c>
      <c r="F40" s="136"/>
      <c r="G40" s="136"/>
      <c r="H40" s="136"/>
      <c r="I40" s="136">
        <v>127.13</v>
      </c>
      <c r="J40" s="134">
        <v>150</v>
      </c>
      <c r="K40" s="19"/>
      <c r="L40" s="134">
        <v>150</v>
      </c>
      <c r="M40" s="134"/>
    </row>
    <row r="41" spans="1:17" x14ac:dyDescent="0.2">
      <c r="A41" s="12">
        <v>5530</v>
      </c>
      <c r="B41" s="13" t="s">
        <v>204</v>
      </c>
      <c r="C41" s="156">
        <v>43029.4</v>
      </c>
      <c r="D41" s="19">
        <v>45445.69</v>
      </c>
      <c r="E41" s="136">
        <v>36322.94</v>
      </c>
      <c r="F41" s="136">
        <v>43379.03</v>
      </c>
      <c r="G41" s="136">
        <v>24572.81</v>
      </c>
      <c r="H41" s="136">
        <v>31418.53</v>
      </c>
      <c r="I41" s="136">
        <v>30491.41</v>
      </c>
      <c r="J41" s="134">
        <v>55000</v>
      </c>
      <c r="K41" s="19">
        <v>11365.67</v>
      </c>
      <c r="L41" s="134">
        <v>55000</v>
      </c>
      <c r="M41" s="134"/>
    </row>
    <row r="42" spans="1:17" hidden="1" x14ac:dyDescent="0.2">
      <c r="A42" s="12">
        <v>5534</v>
      </c>
      <c r="B42" s="13" t="s">
        <v>205</v>
      </c>
      <c r="C42" s="156">
        <v>125</v>
      </c>
      <c r="D42" s="19"/>
      <c r="E42" s="136"/>
      <c r="F42" s="136"/>
      <c r="G42" s="136"/>
      <c r="H42" s="136"/>
      <c r="I42" s="136"/>
      <c r="J42" s="134"/>
      <c r="K42" s="19"/>
      <c r="L42" s="134"/>
      <c r="M42" s="134"/>
    </row>
    <row r="43" spans="1:17" x14ac:dyDescent="0.2">
      <c r="A43" s="12">
        <v>5580</v>
      </c>
      <c r="B43" s="13" t="s">
        <v>1373</v>
      </c>
      <c r="C43" s="156"/>
      <c r="D43" s="19"/>
      <c r="E43" s="136"/>
      <c r="F43" s="136"/>
      <c r="G43" s="136"/>
      <c r="H43" s="136"/>
      <c r="I43" s="136">
        <v>12646.36</v>
      </c>
      <c r="J43" s="134"/>
      <c r="K43" s="19"/>
      <c r="L43" s="134"/>
      <c r="M43" s="134"/>
    </row>
    <row r="44" spans="1:17" x14ac:dyDescent="0.2">
      <c r="A44" s="12">
        <v>5582</v>
      </c>
      <c r="B44" s="13" t="s">
        <v>168</v>
      </c>
      <c r="C44" s="156">
        <v>2596.34</v>
      </c>
      <c r="D44" s="19">
        <v>2080.9699999999998</v>
      </c>
      <c r="E44" s="136">
        <v>3880.7</v>
      </c>
      <c r="F44" s="136">
        <v>4245.47</v>
      </c>
      <c r="G44" s="136">
        <v>4901.04</v>
      </c>
      <c r="H44" s="136">
        <v>5798.09</v>
      </c>
      <c r="I44" s="136">
        <v>5887.39</v>
      </c>
      <c r="J44" s="134">
        <f>7500+6000</f>
        <v>13500</v>
      </c>
      <c r="K44" s="19">
        <v>7669.38</v>
      </c>
      <c r="L44" s="134">
        <v>14000</v>
      </c>
      <c r="M44" s="134"/>
    </row>
    <row r="45" spans="1:17" x14ac:dyDescent="0.2">
      <c r="A45" s="12">
        <v>5588</v>
      </c>
      <c r="B45" s="69" t="s">
        <v>209</v>
      </c>
      <c r="C45" s="156"/>
      <c r="D45" s="19"/>
      <c r="E45" s="136"/>
      <c r="F45" s="136"/>
      <c r="G45" s="136">
        <v>164</v>
      </c>
      <c r="H45" s="136"/>
      <c r="I45" s="136">
        <v>0</v>
      </c>
      <c r="J45" s="134">
        <v>1000</v>
      </c>
      <c r="K45" s="14"/>
      <c r="L45" s="134">
        <v>1000</v>
      </c>
      <c r="M45" s="134"/>
    </row>
    <row r="46" spans="1:17" x14ac:dyDescent="0.2">
      <c r="A46" s="12">
        <v>5710</v>
      </c>
      <c r="B46" s="13" t="s">
        <v>529</v>
      </c>
      <c r="C46" s="351">
        <v>44.78</v>
      </c>
      <c r="D46" s="19">
        <v>22.6</v>
      </c>
      <c r="E46" s="136"/>
      <c r="F46" s="136"/>
      <c r="G46" s="136"/>
      <c r="H46" s="136"/>
      <c r="I46" s="136">
        <v>0</v>
      </c>
      <c r="J46" s="134">
        <v>125</v>
      </c>
      <c r="K46" s="19"/>
      <c r="L46" s="134">
        <v>125</v>
      </c>
      <c r="M46" s="134"/>
    </row>
    <row r="47" spans="1:17" x14ac:dyDescent="0.2">
      <c r="A47" s="12">
        <v>5730</v>
      </c>
      <c r="B47" s="13" t="s">
        <v>142</v>
      </c>
      <c r="C47" s="244">
        <v>361</v>
      </c>
      <c r="D47" s="19">
        <v>233</v>
      </c>
      <c r="E47" s="136">
        <v>381</v>
      </c>
      <c r="F47" s="136">
        <v>381</v>
      </c>
      <c r="G47" s="136">
        <v>356</v>
      </c>
      <c r="H47" s="136">
        <v>125</v>
      </c>
      <c r="I47" s="136">
        <v>125</v>
      </c>
      <c r="J47" s="134">
        <v>500</v>
      </c>
      <c r="K47" s="19"/>
      <c r="L47" s="134">
        <v>500</v>
      </c>
      <c r="M47" s="134"/>
    </row>
    <row r="48" spans="1:17" ht="13.5" thickBot="1" x14ac:dyDescent="0.25">
      <c r="A48" s="69">
        <v>5783</v>
      </c>
      <c r="B48" s="69" t="s">
        <v>200</v>
      </c>
      <c r="C48" s="349">
        <v>780</v>
      </c>
      <c r="D48" s="16">
        <v>1710</v>
      </c>
      <c r="E48" s="349">
        <v>1440</v>
      </c>
      <c r="F48" s="349">
        <v>724</v>
      </c>
      <c r="G48" s="349">
        <v>567.9</v>
      </c>
      <c r="H48" s="349">
        <v>1328.7</v>
      </c>
      <c r="I48" s="349">
        <v>1056</v>
      </c>
      <c r="J48" s="133">
        <v>1500</v>
      </c>
      <c r="K48" s="16">
        <v>1010.95</v>
      </c>
      <c r="L48" s="133">
        <v>1500</v>
      </c>
      <c r="M48" s="133"/>
    </row>
    <row r="49" spans="1:16" x14ac:dyDescent="0.2">
      <c r="A49" s="30"/>
      <c r="B49" s="71" t="s">
        <v>442</v>
      </c>
      <c r="C49" s="136">
        <f t="shared" ref="C49:M49" si="1">SUM(C18:C48)</f>
        <v>243566.75999999998</v>
      </c>
      <c r="D49" s="19">
        <f t="shared" si="1"/>
        <v>291089.50999999995</v>
      </c>
      <c r="E49" s="19">
        <f t="shared" si="1"/>
        <v>317125.98000000004</v>
      </c>
      <c r="F49" s="19">
        <f t="shared" si="1"/>
        <v>325780</v>
      </c>
      <c r="G49" s="19">
        <f t="shared" si="1"/>
        <v>266189.69999999995</v>
      </c>
      <c r="H49" s="19">
        <f t="shared" si="1"/>
        <v>308177.65000000002</v>
      </c>
      <c r="I49" s="19">
        <f t="shared" si="1"/>
        <v>353764.51</v>
      </c>
      <c r="J49" s="20">
        <f>SUM(J18:J48)</f>
        <v>387215</v>
      </c>
      <c r="K49" s="19">
        <f t="shared" si="1"/>
        <v>188651.65000000005</v>
      </c>
      <c r="L49" s="20">
        <f>SUM(L18:L48)</f>
        <v>402025</v>
      </c>
      <c r="M49" s="20">
        <f t="shared" si="1"/>
        <v>0</v>
      </c>
    </row>
    <row r="50" spans="1:16" x14ac:dyDescent="0.2">
      <c r="A50" s="30"/>
      <c r="B50" s="71"/>
      <c r="C50" s="136"/>
      <c r="D50" s="19"/>
      <c r="E50" s="19"/>
      <c r="F50" s="19"/>
      <c r="G50" s="19"/>
      <c r="H50" s="19"/>
      <c r="I50" s="19"/>
      <c r="J50" s="20"/>
      <c r="K50" s="19"/>
      <c r="L50" s="20"/>
      <c r="M50" s="20"/>
    </row>
    <row r="51" spans="1:16" ht="13.5" thickBot="1" x14ac:dyDescent="0.25">
      <c r="A51" s="30">
        <v>5800</v>
      </c>
      <c r="B51" s="31" t="s">
        <v>1176</v>
      </c>
      <c r="C51" s="136"/>
      <c r="D51" s="19"/>
      <c r="E51" s="19"/>
      <c r="F51" s="16"/>
      <c r="G51" s="16"/>
      <c r="H51" s="16"/>
      <c r="I51" s="16">
        <v>21320.41</v>
      </c>
      <c r="J51" s="17">
        <v>24090</v>
      </c>
      <c r="K51" s="16"/>
      <c r="L51" s="17">
        <v>24090</v>
      </c>
      <c r="M51" s="17"/>
    </row>
    <row r="52" spans="1:16" x14ac:dyDescent="0.2">
      <c r="A52" s="30"/>
      <c r="B52" s="71" t="s">
        <v>131</v>
      </c>
      <c r="C52" s="136"/>
      <c r="D52" s="19"/>
      <c r="E52" s="19"/>
      <c r="F52" s="19"/>
      <c r="G52" s="19"/>
      <c r="H52" s="19"/>
      <c r="I52" s="19">
        <f>+I51</f>
        <v>21320.41</v>
      </c>
      <c r="J52" s="20">
        <f>+J51</f>
        <v>24090</v>
      </c>
      <c r="K52" s="168">
        <f>+K51</f>
        <v>0</v>
      </c>
      <c r="L52" s="20">
        <f>+L51</f>
        <v>24090</v>
      </c>
      <c r="M52" s="20">
        <f>+L52</f>
        <v>24090</v>
      </c>
    </row>
    <row r="53" spans="1:16" x14ac:dyDescent="0.2">
      <c r="A53" s="12"/>
      <c r="B53" s="13"/>
      <c r="C53" s="156"/>
      <c r="D53" s="14"/>
      <c r="E53" s="14"/>
      <c r="F53" s="14"/>
      <c r="G53" s="14"/>
      <c r="H53" s="14"/>
      <c r="I53" s="14"/>
      <c r="J53" s="15"/>
      <c r="K53" s="180"/>
      <c r="L53" s="15"/>
      <c r="M53" s="15"/>
    </row>
    <row r="54" spans="1:16" ht="13.5" thickBot="1" x14ac:dyDescent="0.25">
      <c r="A54" s="21"/>
      <c r="B54" s="22" t="s">
        <v>452</v>
      </c>
      <c r="C54" s="352">
        <f t="shared" ref="C54:H54" si="2">+C49+C16</f>
        <v>802502.48</v>
      </c>
      <c r="D54" s="352">
        <f t="shared" si="2"/>
        <v>876670.5399999998</v>
      </c>
      <c r="E54" s="352">
        <f t="shared" si="2"/>
        <v>887268.20000000019</v>
      </c>
      <c r="F54" s="352">
        <f t="shared" si="2"/>
        <v>901975.19000000006</v>
      </c>
      <c r="G54" s="352">
        <f t="shared" si="2"/>
        <v>840324.77</v>
      </c>
      <c r="H54" s="352">
        <f t="shared" si="2"/>
        <v>912147.92999999993</v>
      </c>
      <c r="I54" s="23">
        <f>+I49+I16+I52</f>
        <v>986744.43</v>
      </c>
      <c r="J54" s="43">
        <f>+J49+J16+J52</f>
        <v>1090106</v>
      </c>
      <c r="K54" s="669">
        <f>+K49+K16+K52</f>
        <v>510086.79000000004</v>
      </c>
      <c r="L54" s="43">
        <f>+L49+L16+L52</f>
        <v>1108316</v>
      </c>
      <c r="M54" s="43">
        <f>+L54</f>
        <v>1108316</v>
      </c>
    </row>
    <row r="55" spans="1:16" ht="13.5" thickTop="1" x14ac:dyDescent="0.2">
      <c r="A55" s="4"/>
      <c r="B55" s="4"/>
      <c r="C55" s="112"/>
      <c r="D55" s="25"/>
      <c r="E55" s="25"/>
      <c r="F55" s="25"/>
      <c r="G55" s="25"/>
      <c r="H55" s="25"/>
      <c r="I55" s="25"/>
      <c r="J55" s="25"/>
      <c r="K55" s="29"/>
      <c r="L55" s="25"/>
      <c r="M55" s="25"/>
      <c r="N55" s="29"/>
      <c r="O55" s="29"/>
      <c r="P55" s="29"/>
    </row>
    <row r="56" spans="1:16" x14ac:dyDescent="0.2">
      <c r="A56" s="4"/>
      <c r="B56" s="4"/>
      <c r="C56" s="112"/>
      <c r="D56" s="25"/>
      <c r="E56" s="25"/>
      <c r="F56" s="25"/>
      <c r="G56" s="25"/>
      <c r="H56" s="25"/>
      <c r="I56" s="25"/>
      <c r="J56" s="25"/>
      <c r="K56" s="29"/>
      <c r="L56" s="25"/>
      <c r="M56" s="25"/>
      <c r="N56" s="29"/>
      <c r="O56" s="29"/>
      <c r="P56" s="29"/>
    </row>
    <row r="57" spans="1:16" ht="13.5" thickBot="1" x14ac:dyDescent="0.25">
      <c r="A57" s="4"/>
      <c r="B57" s="4"/>
      <c r="C57" s="112"/>
      <c r="D57" s="25"/>
      <c r="E57" s="25"/>
      <c r="F57" s="25"/>
      <c r="G57" s="25"/>
      <c r="H57" s="25"/>
      <c r="I57" s="25"/>
      <c r="J57" s="25"/>
      <c r="K57" s="29"/>
      <c r="L57" s="25"/>
      <c r="M57" s="25"/>
      <c r="N57" s="29"/>
      <c r="O57" s="29"/>
      <c r="P57" s="29"/>
    </row>
    <row r="58" spans="1:16" ht="13.5" thickTop="1" x14ac:dyDescent="0.2">
      <c r="A58" s="517"/>
      <c r="B58" s="518"/>
      <c r="C58" s="519" t="s">
        <v>122</v>
      </c>
      <c r="D58" s="520" t="s">
        <v>122</v>
      </c>
      <c r="E58" s="520" t="s">
        <v>122</v>
      </c>
      <c r="H58" s="521" t="s">
        <v>542</v>
      </c>
      <c r="I58" s="522" t="s">
        <v>9</v>
      </c>
      <c r="J58" s="523" t="s">
        <v>1073</v>
      </c>
      <c r="K58" s="522" t="s">
        <v>682</v>
      </c>
      <c r="L58" s="524"/>
      <c r="M58" s="523"/>
      <c r="N58" s="29"/>
      <c r="O58" s="29"/>
      <c r="P58" s="29"/>
    </row>
    <row r="59" spans="1:16" ht="13.5" thickBot="1" x14ac:dyDescent="0.25">
      <c r="A59" s="525" t="s">
        <v>123</v>
      </c>
      <c r="B59" s="526"/>
      <c r="C59" s="527" t="s">
        <v>334</v>
      </c>
      <c r="D59" s="527" t="s">
        <v>718</v>
      </c>
      <c r="E59" s="528" t="s">
        <v>734</v>
      </c>
      <c r="H59" s="529" t="s">
        <v>899</v>
      </c>
      <c r="I59" s="529" t="s">
        <v>900</v>
      </c>
      <c r="J59" s="528" t="s">
        <v>1075</v>
      </c>
      <c r="K59" s="530" t="s">
        <v>1075</v>
      </c>
      <c r="L59" s="531" t="s">
        <v>1074</v>
      </c>
      <c r="M59" s="529"/>
      <c r="N59" s="29"/>
      <c r="O59" s="29"/>
      <c r="P59" s="29"/>
    </row>
    <row r="60" spans="1:16" ht="13.5" thickTop="1" x14ac:dyDescent="0.2">
      <c r="A60" s="557"/>
      <c r="B60" s="558"/>
      <c r="C60" s="559"/>
      <c r="D60" s="560"/>
      <c r="E60" s="560"/>
      <c r="H60" s="561"/>
      <c r="I60" s="729"/>
      <c r="J60" s="561"/>
      <c r="K60" s="559"/>
      <c r="L60" s="538"/>
      <c r="M60" s="539"/>
      <c r="N60" s="29"/>
      <c r="O60" s="29"/>
      <c r="P60" s="29"/>
    </row>
    <row r="61" spans="1:16" x14ac:dyDescent="0.2">
      <c r="A61" s="551">
        <v>5112</v>
      </c>
      <c r="B61" s="540" t="s">
        <v>154</v>
      </c>
      <c r="C61" s="544">
        <v>544527.98</v>
      </c>
      <c r="D61" s="544">
        <f>165.7+562801.37+6191.59</f>
        <v>569158.65999999992</v>
      </c>
      <c r="E61" s="544">
        <v>540718.27</v>
      </c>
      <c r="H61" s="543">
        <f t="shared" ref="H61:H67" si="3">+J9</f>
        <v>648008</v>
      </c>
      <c r="I61" s="569">
        <f t="shared" ref="I61:I67" si="4">+L9</f>
        <v>653676</v>
      </c>
      <c r="J61" s="572">
        <f t="shared" ref="J61:J98" si="5">+I61-H61</f>
        <v>5668</v>
      </c>
      <c r="K61" s="545">
        <f t="shared" ref="K61:K98" si="6">IF(H61+I61&lt;&gt;0,IF(H61&lt;&gt;0,IF(J61&lt;&gt;0,ROUND((+J61/H61),4),""),1),"")</f>
        <v>8.6999999999999994E-3</v>
      </c>
      <c r="L61" s="538" t="s">
        <v>1103</v>
      </c>
      <c r="M61" s="539"/>
      <c r="N61" s="29"/>
      <c r="O61" s="29"/>
      <c r="P61" s="29"/>
    </row>
    <row r="62" spans="1:16" x14ac:dyDescent="0.2">
      <c r="A62" s="551">
        <v>5132</v>
      </c>
      <c r="B62" s="540" t="s">
        <v>186</v>
      </c>
      <c r="C62" s="544">
        <f>232.1+5303.32</f>
        <v>5535.42</v>
      </c>
      <c r="D62" s="544">
        <f>136.61+5676.65</f>
        <v>5813.2599999999993</v>
      </c>
      <c r="E62" s="544">
        <v>4186.1000000000004</v>
      </c>
      <c r="H62" s="543">
        <f t="shared" si="3"/>
        <v>7000</v>
      </c>
      <c r="I62" s="569">
        <f t="shared" si="4"/>
        <v>9000</v>
      </c>
      <c r="J62" s="572">
        <f t="shared" si="5"/>
        <v>2000</v>
      </c>
      <c r="K62" s="545">
        <f t="shared" si="6"/>
        <v>0.28570000000000001</v>
      </c>
      <c r="L62" s="538" t="s">
        <v>1103</v>
      </c>
      <c r="M62" s="539"/>
      <c r="N62" s="29"/>
      <c r="O62" s="29"/>
      <c r="P62" s="29"/>
    </row>
    <row r="63" spans="1:16" x14ac:dyDescent="0.2">
      <c r="A63" s="551">
        <v>5142</v>
      </c>
      <c r="B63" s="540" t="s">
        <v>58</v>
      </c>
      <c r="C63" s="546">
        <v>5672.24</v>
      </c>
      <c r="D63" s="546">
        <f>19.09+5997.6</f>
        <v>6016.6900000000005</v>
      </c>
      <c r="E63" s="546">
        <v>6103.83</v>
      </c>
      <c r="H63" s="543">
        <f t="shared" si="3"/>
        <v>12588</v>
      </c>
      <c r="I63" s="569">
        <f t="shared" si="4"/>
        <v>15000</v>
      </c>
      <c r="J63" s="572">
        <f t="shared" si="5"/>
        <v>2412</v>
      </c>
      <c r="K63" s="545">
        <f t="shared" si="6"/>
        <v>0.19159999999999999</v>
      </c>
      <c r="L63" s="538" t="s">
        <v>1103</v>
      </c>
      <c r="M63" s="539"/>
      <c r="N63" s="29"/>
      <c r="O63" s="29"/>
      <c r="P63" s="29"/>
    </row>
    <row r="64" spans="1:16" x14ac:dyDescent="0.2">
      <c r="A64" s="551">
        <v>5144</v>
      </c>
      <c r="B64" s="540" t="s">
        <v>152</v>
      </c>
      <c r="C64" s="544">
        <v>2600</v>
      </c>
      <c r="D64" s="544">
        <v>3750</v>
      </c>
      <c r="E64" s="544">
        <v>3000</v>
      </c>
      <c r="H64" s="543">
        <f t="shared" si="3"/>
        <v>3500</v>
      </c>
      <c r="I64" s="569">
        <f t="shared" si="4"/>
        <v>3000</v>
      </c>
      <c r="J64" s="572">
        <f t="shared" si="5"/>
        <v>-500</v>
      </c>
      <c r="K64" s="545">
        <f t="shared" si="6"/>
        <v>-0.1429</v>
      </c>
      <c r="L64" s="538" t="s">
        <v>1103</v>
      </c>
      <c r="M64" s="539"/>
      <c r="N64" s="29"/>
      <c r="O64" s="29"/>
      <c r="P64" s="29"/>
    </row>
    <row r="65" spans="1:16" x14ac:dyDescent="0.2">
      <c r="A65" s="551">
        <v>5145</v>
      </c>
      <c r="B65" s="540" t="s">
        <v>597</v>
      </c>
      <c r="C65" s="544">
        <v>600.08000000000004</v>
      </c>
      <c r="D65" s="544">
        <v>842.42</v>
      </c>
      <c r="E65" s="544">
        <v>1200.1600000000001</v>
      </c>
      <c r="H65" s="543">
        <f t="shared" si="3"/>
        <v>1525</v>
      </c>
      <c r="I65" s="569">
        <f t="shared" si="4"/>
        <v>1525</v>
      </c>
      <c r="J65" s="572">
        <f t="shared" si="5"/>
        <v>0</v>
      </c>
      <c r="K65" s="545" t="str">
        <f t="shared" si="6"/>
        <v/>
      </c>
      <c r="L65" s="538"/>
      <c r="M65" s="539"/>
      <c r="N65" s="29"/>
      <c r="O65" s="29"/>
      <c r="P65" s="29"/>
    </row>
    <row r="66" spans="1:16" x14ac:dyDescent="0.2">
      <c r="A66" s="551">
        <v>5193</v>
      </c>
      <c r="B66" s="540" t="s">
        <v>695</v>
      </c>
      <c r="C66" s="544"/>
      <c r="D66" s="544"/>
      <c r="E66" s="544">
        <v>9799.56</v>
      </c>
      <c r="H66" s="543">
        <f t="shared" si="3"/>
        <v>5500</v>
      </c>
      <c r="I66" s="569">
        <f t="shared" si="4"/>
        <v>0</v>
      </c>
      <c r="J66" s="572">
        <f t="shared" si="5"/>
        <v>-5500</v>
      </c>
      <c r="K66" s="545">
        <f t="shared" si="6"/>
        <v>-1</v>
      </c>
      <c r="L66" s="538" t="s">
        <v>1560</v>
      </c>
      <c r="M66" s="539"/>
      <c r="N66" s="29"/>
      <c r="O66" s="29"/>
      <c r="P66" s="29"/>
    </row>
    <row r="67" spans="1:16" ht="13.5" thickBot="1" x14ac:dyDescent="0.25">
      <c r="A67" s="551">
        <v>5194</v>
      </c>
      <c r="B67" s="540" t="s">
        <v>221</v>
      </c>
      <c r="C67" s="567"/>
      <c r="D67" s="567"/>
      <c r="E67" s="567">
        <v>5134.3</v>
      </c>
      <c r="H67" s="543">
        <f t="shared" si="3"/>
        <v>680</v>
      </c>
      <c r="I67" s="569">
        <f t="shared" si="4"/>
        <v>0</v>
      </c>
      <c r="J67" s="572">
        <f t="shared" si="5"/>
        <v>-680</v>
      </c>
      <c r="K67" s="545">
        <f t="shared" si="6"/>
        <v>-1</v>
      </c>
      <c r="L67" s="538" t="s">
        <v>1560</v>
      </c>
      <c r="M67" s="539"/>
      <c r="N67" s="29"/>
      <c r="O67" s="29"/>
      <c r="P67" s="29"/>
    </row>
    <row r="68" spans="1:16" x14ac:dyDescent="0.2">
      <c r="A68" s="551">
        <v>5242</v>
      </c>
      <c r="B68" s="540" t="s">
        <v>192</v>
      </c>
      <c r="C68" s="544"/>
      <c r="D68" s="536">
        <v>1665</v>
      </c>
      <c r="E68" s="536">
        <v>687.54</v>
      </c>
      <c r="H68" s="537">
        <f t="shared" ref="H68:H93" si="7">+J18</f>
        <v>3500</v>
      </c>
      <c r="I68" s="569">
        <f t="shared" ref="I68:I93" si="8">+L18</f>
        <v>3500</v>
      </c>
      <c r="J68" s="572">
        <f t="shared" si="5"/>
        <v>0</v>
      </c>
      <c r="K68" s="545" t="str">
        <f t="shared" si="6"/>
        <v/>
      </c>
      <c r="L68" s="538"/>
      <c r="M68" s="539"/>
      <c r="N68" s="4"/>
      <c r="O68" s="4"/>
      <c r="P68" s="4"/>
    </row>
    <row r="69" spans="1:16" x14ac:dyDescent="0.2">
      <c r="A69" s="551">
        <v>5245</v>
      </c>
      <c r="B69" s="540" t="s">
        <v>178</v>
      </c>
      <c r="C69" s="544">
        <v>15640.85</v>
      </c>
      <c r="D69" s="536">
        <v>20923.13</v>
      </c>
      <c r="E69" s="536">
        <v>22296.94</v>
      </c>
      <c r="H69" s="537">
        <f t="shared" si="7"/>
        <v>30000</v>
      </c>
      <c r="I69" s="569">
        <f t="shared" si="8"/>
        <v>30000</v>
      </c>
      <c r="J69" s="572">
        <f t="shared" si="5"/>
        <v>0</v>
      </c>
      <c r="K69" s="545" t="str">
        <f t="shared" si="6"/>
        <v/>
      </c>
      <c r="L69" s="538"/>
      <c r="M69" s="539"/>
      <c r="N69" s="4"/>
      <c r="O69" s="4"/>
      <c r="P69" s="4"/>
    </row>
    <row r="70" spans="1:16" x14ac:dyDescent="0.2">
      <c r="A70" s="551">
        <v>5248</v>
      </c>
      <c r="B70" s="540" t="s">
        <v>133</v>
      </c>
      <c r="C70" s="544"/>
      <c r="D70" s="536">
        <v>0</v>
      </c>
      <c r="E70" s="536">
        <v>503.29</v>
      </c>
      <c r="H70" s="537">
        <f t="shared" si="7"/>
        <v>4200</v>
      </c>
      <c r="I70" s="569">
        <f t="shared" si="8"/>
        <v>4200</v>
      </c>
      <c r="J70" s="572">
        <f t="shared" si="5"/>
        <v>0</v>
      </c>
      <c r="K70" s="545" t="str">
        <f t="shared" si="6"/>
        <v/>
      </c>
      <c r="L70" s="538"/>
      <c r="M70" s="539"/>
      <c r="N70" s="4"/>
      <c r="O70" s="4"/>
      <c r="P70" s="4"/>
    </row>
    <row r="71" spans="1:16" x14ac:dyDescent="0.2">
      <c r="A71" s="551">
        <v>5251</v>
      </c>
      <c r="B71" s="540" t="s">
        <v>162</v>
      </c>
      <c r="C71" s="554">
        <v>2288.5700000000002</v>
      </c>
      <c r="D71" s="536">
        <v>3552.43</v>
      </c>
      <c r="E71" s="536">
        <v>5595.84</v>
      </c>
      <c r="H71" s="537">
        <f t="shared" si="7"/>
        <v>4500</v>
      </c>
      <c r="I71" s="569">
        <f t="shared" si="8"/>
        <v>4500</v>
      </c>
      <c r="J71" s="572">
        <f t="shared" si="5"/>
        <v>0</v>
      </c>
      <c r="K71" s="545" t="str">
        <f t="shared" si="6"/>
        <v/>
      </c>
      <c r="L71" s="538"/>
      <c r="M71" s="539"/>
      <c r="N71" s="4"/>
      <c r="O71" s="4"/>
      <c r="P71" s="4"/>
    </row>
    <row r="72" spans="1:16" x14ac:dyDescent="0.2">
      <c r="A72" s="551">
        <v>5277</v>
      </c>
      <c r="B72" s="540" t="s">
        <v>201</v>
      </c>
      <c r="C72" s="544"/>
      <c r="D72" s="536">
        <v>0</v>
      </c>
      <c r="E72" s="536"/>
      <c r="H72" s="537">
        <f t="shared" si="7"/>
        <v>0</v>
      </c>
      <c r="I72" s="569">
        <f t="shared" si="8"/>
        <v>0</v>
      </c>
      <c r="J72" s="572">
        <f t="shared" si="5"/>
        <v>0</v>
      </c>
      <c r="K72" s="545" t="str">
        <f t="shared" si="6"/>
        <v/>
      </c>
      <c r="L72" s="538"/>
      <c r="M72" s="539"/>
      <c r="N72" s="4"/>
      <c r="O72" s="4"/>
      <c r="P72" s="4"/>
    </row>
    <row r="73" spans="1:16" x14ac:dyDescent="0.2">
      <c r="A73" s="551">
        <v>5278</v>
      </c>
      <c r="B73" s="540" t="s">
        <v>439</v>
      </c>
      <c r="C73" s="544">
        <v>6254.36</v>
      </c>
      <c r="D73" s="536">
        <v>7210.2</v>
      </c>
      <c r="E73" s="536">
        <v>7337.82</v>
      </c>
      <c r="H73" s="537">
        <f t="shared" si="7"/>
        <v>13440</v>
      </c>
      <c r="I73" s="569">
        <f t="shared" si="8"/>
        <v>0</v>
      </c>
      <c r="J73" s="572">
        <f t="shared" si="5"/>
        <v>-13440</v>
      </c>
      <c r="K73" s="545">
        <f t="shared" si="6"/>
        <v>-1</v>
      </c>
      <c r="L73" s="538" t="s">
        <v>1561</v>
      </c>
      <c r="M73" s="539"/>
      <c r="N73" s="4"/>
      <c r="O73" s="4"/>
      <c r="P73" s="4"/>
    </row>
    <row r="74" spans="1:16" x14ac:dyDescent="0.2">
      <c r="A74" s="551">
        <v>5310</v>
      </c>
      <c r="B74" s="540" t="s">
        <v>199</v>
      </c>
      <c r="C74" s="544">
        <v>1659.5</v>
      </c>
      <c r="D74" s="536">
        <v>1863</v>
      </c>
      <c r="E74" s="536">
        <v>1535</v>
      </c>
      <c r="H74" s="537">
        <f t="shared" si="7"/>
        <v>3500</v>
      </c>
      <c r="I74" s="569">
        <f t="shared" si="8"/>
        <v>5000</v>
      </c>
      <c r="J74" s="572">
        <f t="shared" si="5"/>
        <v>1500</v>
      </c>
      <c r="K74" s="545">
        <f t="shared" si="6"/>
        <v>0.42859999999999998</v>
      </c>
      <c r="L74" s="538" t="s">
        <v>1556</v>
      </c>
      <c r="M74" s="539"/>
      <c r="N74" s="4"/>
      <c r="O74" s="4"/>
      <c r="P74" s="4"/>
    </row>
    <row r="75" spans="1:16" x14ac:dyDescent="0.2">
      <c r="A75" s="551">
        <v>5314</v>
      </c>
      <c r="B75" s="540" t="s">
        <v>134</v>
      </c>
      <c r="C75" s="544">
        <v>35</v>
      </c>
      <c r="D75" s="536">
        <v>65</v>
      </c>
      <c r="E75" s="536">
        <v>80</v>
      </c>
      <c r="H75" s="537">
        <f t="shared" si="7"/>
        <v>200</v>
      </c>
      <c r="I75" s="569">
        <f t="shared" si="8"/>
        <v>200</v>
      </c>
      <c r="J75" s="572">
        <f t="shared" si="5"/>
        <v>0</v>
      </c>
      <c r="K75" s="545" t="str">
        <f t="shared" si="6"/>
        <v/>
      </c>
      <c r="L75" s="538"/>
      <c r="M75" s="539"/>
      <c r="N75" s="4"/>
      <c r="O75" s="4"/>
      <c r="P75" s="4"/>
    </row>
    <row r="76" spans="1:16" x14ac:dyDescent="0.2">
      <c r="A76" s="551">
        <v>5315</v>
      </c>
      <c r="B76" s="540" t="s">
        <v>127</v>
      </c>
      <c r="C76" s="544">
        <v>24208.71</v>
      </c>
      <c r="D76" s="536">
        <v>21600.63</v>
      </c>
      <c r="E76" s="536">
        <v>27572.84</v>
      </c>
      <c r="H76" s="537">
        <f t="shared" si="7"/>
        <v>18000</v>
      </c>
      <c r="I76" s="569">
        <f t="shared" si="8"/>
        <v>18000</v>
      </c>
      <c r="J76" s="572">
        <f t="shared" si="5"/>
        <v>0</v>
      </c>
      <c r="K76" s="545" t="str">
        <f t="shared" si="6"/>
        <v/>
      </c>
      <c r="L76" s="538"/>
      <c r="M76" s="539"/>
      <c r="N76" s="4"/>
      <c r="O76" s="4"/>
      <c r="P76" s="4"/>
    </row>
    <row r="77" spans="1:16" x14ac:dyDescent="0.2">
      <c r="A77" s="551">
        <v>5320</v>
      </c>
      <c r="B77" s="540" t="s">
        <v>1257</v>
      </c>
      <c r="C77" s="544"/>
      <c r="D77" s="536"/>
      <c r="E77" s="536"/>
      <c r="H77" s="537">
        <f t="shared" si="7"/>
        <v>20000</v>
      </c>
      <c r="I77" s="569">
        <f t="shared" si="8"/>
        <v>22000</v>
      </c>
      <c r="J77" s="572">
        <f t="shared" ref="J77" si="9">+I77-H77</f>
        <v>2000</v>
      </c>
      <c r="K77" s="545">
        <f t="shared" si="6"/>
        <v>0.1</v>
      </c>
      <c r="L77" s="538" t="s">
        <v>1556</v>
      </c>
      <c r="M77" s="539"/>
      <c r="N77" s="4"/>
      <c r="O77" s="4"/>
      <c r="P77" s="4"/>
    </row>
    <row r="78" spans="1:16" x14ac:dyDescent="0.2">
      <c r="A78" s="551">
        <v>5341</v>
      </c>
      <c r="B78" s="540" t="s">
        <v>1161</v>
      </c>
      <c r="C78" s="544">
        <v>3078.49</v>
      </c>
      <c r="D78" s="536">
        <v>3210.87</v>
      </c>
      <c r="E78" s="536">
        <v>3419.12</v>
      </c>
      <c r="H78" s="537">
        <f t="shared" si="7"/>
        <v>3500</v>
      </c>
      <c r="I78" s="569">
        <f t="shared" si="8"/>
        <v>3500</v>
      </c>
      <c r="J78" s="572">
        <f t="shared" si="5"/>
        <v>0</v>
      </c>
      <c r="K78" s="545" t="str">
        <f t="shared" si="6"/>
        <v/>
      </c>
      <c r="L78" s="538"/>
      <c r="M78" s="539"/>
      <c r="N78" s="4"/>
      <c r="O78" s="4"/>
      <c r="P78" s="4"/>
    </row>
    <row r="79" spans="1:16" x14ac:dyDescent="0.2">
      <c r="A79" s="551">
        <v>5344</v>
      </c>
      <c r="B79" s="540" t="s">
        <v>137</v>
      </c>
      <c r="C79" s="546">
        <v>60.4</v>
      </c>
      <c r="D79" s="536">
        <v>78.47</v>
      </c>
      <c r="E79" s="536">
        <v>55</v>
      </c>
      <c r="H79" s="537">
        <f t="shared" si="7"/>
        <v>100</v>
      </c>
      <c r="I79" s="569">
        <f t="shared" si="8"/>
        <v>100</v>
      </c>
      <c r="J79" s="572">
        <f t="shared" si="5"/>
        <v>0</v>
      </c>
      <c r="K79" s="545" t="str">
        <f t="shared" si="6"/>
        <v/>
      </c>
      <c r="L79" s="538"/>
      <c r="M79" s="539"/>
      <c r="N79" s="4"/>
      <c r="O79" s="4"/>
      <c r="P79" s="4"/>
    </row>
    <row r="80" spans="1:16" x14ac:dyDescent="0.2">
      <c r="A80" s="551">
        <v>5345</v>
      </c>
      <c r="B80" s="540" t="s">
        <v>138</v>
      </c>
      <c r="C80" s="544">
        <v>50.81</v>
      </c>
      <c r="D80" s="536">
        <v>237.71</v>
      </c>
      <c r="E80" s="536">
        <v>835.56</v>
      </c>
      <c r="H80" s="537">
        <f t="shared" si="7"/>
        <v>1500</v>
      </c>
      <c r="I80" s="569">
        <f t="shared" si="8"/>
        <v>2500</v>
      </c>
      <c r="J80" s="572">
        <f t="shared" si="5"/>
        <v>1000</v>
      </c>
      <c r="K80" s="545">
        <f t="shared" si="6"/>
        <v>0.66669999999999996</v>
      </c>
      <c r="L80" s="538" t="s">
        <v>1556</v>
      </c>
      <c r="M80" s="539"/>
      <c r="N80" s="4"/>
      <c r="O80" s="4"/>
      <c r="P80" s="4"/>
    </row>
    <row r="81" spans="1:16" x14ac:dyDescent="0.2">
      <c r="A81" s="551">
        <v>5420</v>
      </c>
      <c r="B81" s="540" t="s">
        <v>139</v>
      </c>
      <c r="C81" s="536">
        <v>965.81</v>
      </c>
      <c r="D81" s="536">
        <v>694.26</v>
      </c>
      <c r="E81" s="536">
        <v>1611.93</v>
      </c>
      <c r="H81" s="537">
        <f t="shared" si="7"/>
        <v>1500</v>
      </c>
      <c r="I81" s="569">
        <f t="shared" si="8"/>
        <v>1750</v>
      </c>
      <c r="J81" s="572">
        <f t="shared" si="5"/>
        <v>250</v>
      </c>
      <c r="K81" s="545">
        <f t="shared" si="6"/>
        <v>0.16669999999999999</v>
      </c>
      <c r="L81" s="538" t="s">
        <v>1556</v>
      </c>
      <c r="M81" s="539"/>
      <c r="N81" s="4"/>
      <c r="O81" s="4"/>
      <c r="P81" s="4"/>
    </row>
    <row r="82" spans="1:16" x14ac:dyDescent="0.2">
      <c r="A82" s="551">
        <v>5430</v>
      </c>
      <c r="B82" s="540" t="s">
        <v>369</v>
      </c>
      <c r="C82" s="544">
        <v>680.13</v>
      </c>
      <c r="D82" s="536">
        <v>738.74</v>
      </c>
      <c r="E82" s="536">
        <v>671.33</v>
      </c>
      <c r="H82" s="537">
        <f t="shared" si="7"/>
        <v>2500</v>
      </c>
      <c r="I82" s="569">
        <f t="shared" si="8"/>
        <v>2500</v>
      </c>
      <c r="J82" s="572">
        <f t="shared" si="5"/>
        <v>0</v>
      </c>
      <c r="K82" s="545" t="str">
        <f t="shared" si="6"/>
        <v/>
      </c>
      <c r="L82" s="538"/>
      <c r="M82" s="539"/>
      <c r="N82" s="4"/>
      <c r="O82" s="4"/>
      <c r="P82" s="4"/>
    </row>
    <row r="83" spans="1:16" x14ac:dyDescent="0.2">
      <c r="A83" s="551">
        <v>5432</v>
      </c>
      <c r="B83" s="540" t="s">
        <v>453</v>
      </c>
      <c r="C83" s="544">
        <v>37.119999999999997</v>
      </c>
      <c r="D83" s="536">
        <v>13.95</v>
      </c>
      <c r="E83" s="536"/>
      <c r="H83" s="537">
        <f t="shared" si="7"/>
        <v>0</v>
      </c>
      <c r="I83" s="569">
        <f t="shared" si="8"/>
        <v>0</v>
      </c>
      <c r="J83" s="572">
        <f t="shared" si="5"/>
        <v>0</v>
      </c>
      <c r="K83" s="545" t="str">
        <f t="shared" si="6"/>
        <v/>
      </c>
      <c r="L83" s="538"/>
      <c r="M83" s="539"/>
      <c r="N83" s="4"/>
      <c r="O83" s="4"/>
      <c r="P83" s="4"/>
    </row>
    <row r="84" spans="1:16" x14ac:dyDescent="0.2">
      <c r="A84" s="551">
        <v>5435</v>
      </c>
      <c r="B84" s="540" t="s">
        <v>368</v>
      </c>
      <c r="C84" s="536">
        <v>2223.06</v>
      </c>
      <c r="D84" s="536">
        <v>1519.3</v>
      </c>
      <c r="E84" s="536">
        <v>2230.3200000000002</v>
      </c>
      <c r="H84" s="537">
        <f t="shared" si="7"/>
        <v>4000</v>
      </c>
      <c r="I84" s="569">
        <f t="shared" si="8"/>
        <v>5000</v>
      </c>
      <c r="J84" s="572">
        <f t="shared" si="5"/>
        <v>1000</v>
      </c>
      <c r="K84" s="545">
        <f t="shared" si="6"/>
        <v>0.25</v>
      </c>
      <c r="L84" s="538" t="s">
        <v>1556</v>
      </c>
      <c r="M84" s="539"/>
      <c r="N84" s="4"/>
      <c r="O84" s="4"/>
      <c r="P84" s="4"/>
    </row>
    <row r="85" spans="1:16" x14ac:dyDescent="0.2">
      <c r="A85" s="551">
        <v>5440</v>
      </c>
      <c r="B85" s="540" t="s">
        <v>202</v>
      </c>
      <c r="C85" s="544">
        <v>4022.66</v>
      </c>
      <c r="D85" s="536">
        <v>4443.3500000000004</v>
      </c>
      <c r="E85" s="536">
        <v>6122.27</v>
      </c>
      <c r="H85" s="537">
        <f t="shared" si="7"/>
        <v>6000</v>
      </c>
      <c r="I85" s="569">
        <f t="shared" si="8"/>
        <v>7000</v>
      </c>
      <c r="J85" s="572">
        <f t="shared" si="5"/>
        <v>1000</v>
      </c>
      <c r="K85" s="545">
        <f t="shared" si="6"/>
        <v>0.16669999999999999</v>
      </c>
      <c r="L85" s="538" t="s">
        <v>1556</v>
      </c>
      <c r="M85" s="539"/>
      <c r="N85" s="4"/>
      <c r="O85" s="4"/>
      <c r="P85" s="4"/>
    </row>
    <row r="86" spans="1:16" x14ac:dyDescent="0.2">
      <c r="A86" s="551">
        <v>5443</v>
      </c>
      <c r="B86" s="540" t="s">
        <v>196</v>
      </c>
      <c r="C86" s="544">
        <v>16245.85</v>
      </c>
      <c r="D86" s="536">
        <v>20320.52</v>
      </c>
      <c r="E86" s="536">
        <v>16077.74</v>
      </c>
      <c r="H86" s="537">
        <f t="shared" si="7"/>
        <v>30000</v>
      </c>
      <c r="I86" s="569">
        <f t="shared" si="8"/>
        <v>35000</v>
      </c>
      <c r="J86" s="572">
        <f t="shared" si="5"/>
        <v>5000</v>
      </c>
      <c r="K86" s="545">
        <f t="shared" si="6"/>
        <v>0.16669999999999999</v>
      </c>
      <c r="L86" s="538" t="s">
        <v>1556</v>
      </c>
      <c r="M86" s="539"/>
      <c r="N86" s="4"/>
      <c r="O86" s="4"/>
      <c r="P86" s="4"/>
    </row>
    <row r="87" spans="1:16" x14ac:dyDescent="0.2">
      <c r="A87" s="551">
        <v>5481</v>
      </c>
      <c r="B87" s="540" t="s">
        <v>165</v>
      </c>
      <c r="C87" s="544">
        <v>23072.400000000001</v>
      </c>
      <c r="D87" s="544">
        <v>32924.959999999999</v>
      </c>
      <c r="E87" s="544">
        <v>27697.48</v>
      </c>
      <c r="H87" s="537">
        <f t="shared" si="7"/>
        <v>40000</v>
      </c>
      <c r="I87" s="569">
        <f t="shared" si="8"/>
        <v>45000</v>
      </c>
      <c r="J87" s="572">
        <f t="shared" si="5"/>
        <v>5000</v>
      </c>
      <c r="K87" s="545">
        <f t="shared" si="6"/>
        <v>0.125</v>
      </c>
      <c r="L87" s="538" t="s">
        <v>1556</v>
      </c>
      <c r="M87" s="539"/>
      <c r="N87" s="4"/>
      <c r="O87" s="4"/>
      <c r="P87" s="4"/>
    </row>
    <row r="88" spans="1:16" x14ac:dyDescent="0.2">
      <c r="A88" s="551">
        <v>5482</v>
      </c>
      <c r="B88" s="540" t="s">
        <v>203</v>
      </c>
      <c r="C88" s="544">
        <v>55086.99</v>
      </c>
      <c r="D88" s="544">
        <v>73803.73</v>
      </c>
      <c r="E88" s="544">
        <v>75053.789999999994</v>
      </c>
      <c r="H88" s="537">
        <f t="shared" si="7"/>
        <v>54000</v>
      </c>
      <c r="I88" s="569">
        <f t="shared" si="8"/>
        <v>60000</v>
      </c>
      <c r="J88" s="572">
        <f t="shared" si="5"/>
        <v>6000</v>
      </c>
      <c r="K88" s="545">
        <f t="shared" si="6"/>
        <v>0.1111</v>
      </c>
      <c r="L88" s="538" t="s">
        <v>1556</v>
      </c>
      <c r="M88" s="539"/>
      <c r="N88" s="4"/>
      <c r="O88" s="4"/>
      <c r="P88" s="4"/>
    </row>
    <row r="89" spans="1:16" x14ac:dyDescent="0.2">
      <c r="A89" s="551">
        <v>5484</v>
      </c>
      <c r="B89" s="540" t="s">
        <v>331</v>
      </c>
      <c r="C89" s="544">
        <v>41019.53</v>
      </c>
      <c r="D89" s="536">
        <v>46732</v>
      </c>
      <c r="E89" s="536">
        <v>75705.59</v>
      </c>
      <c r="H89" s="537">
        <f t="shared" si="7"/>
        <v>75000</v>
      </c>
      <c r="I89" s="569">
        <f t="shared" si="8"/>
        <v>80000</v>
      </c>
      <c r="J89" s="572">
        <f t="shared" si="5"/>
        <v>5000</v>
      </c>
      <c r="K89" s="545">
        <f t="shared" si="6"/>
        <v>6.6699999999999995E-2</v>
      </c>
      <c r="L89" s="538" t="s">
        <v>1556</v>
      </c>
      <c r="M89" s="539"/>
      <c r="N89" s="4"/>
      <c r="O89" s="4"/>
      <c r="P89" s="4"/>
    </row>
    <row r="90" spans="1:16" x14ac:dyDescent="0.2">
      <c r="A90" s="551">
        <v>5500</v>
      </c>
      <c r="B90" s="540" t="s">
        <v>166</v>
      </c>
      <c r="C90" s="544"/>
      <c r="D90" s="536"/>
      <c r="E90" s="536">
        <v>11.94</v>
      </c>
      <c r="H90" s="537">
        <f t="shared" si="7"/>
        <v>150</v>
      </c>
      <c r="I90" s="569">
        <f t="shared" si="8"/>
        <v>150</v>
      </c>
      <c r="J90" s="572">
        <f t="shared" si="5"/>
        <v>0</v>
      </c>
      <c r="K90" s="545" t="str">
        <f t="shared" si="6"/>
        <v/>
      </c>
      <c r="L90" s="538"/>
      <c r="M90" s="539"/>
      <c r="N90" s="4"/>
      <c r="O90" s="4"/>
      <c r="P90" s="4"/>
    </row>
    <row r="91" spans="1:16" x14ac:dyDescent="0.2">
      <c r="A91" s="551">
        <v>5530</v>
      </c>
      <c r="B91" s="540" t="s">
        <v>204</v>
      </c>
      <c r="C91" s="544">
        <v>43029.4</v>
      </c>
      <c r="D91" s="536">
        <v>45445.69</v>
      </c>
      <c r="E91" s="536">
        <v>36322.94</v>
      </c>
      <c r="H91" s="537">
        <f t="shared" si="7"/>
        <v>55000</v>
      </c>
      <c r="I91" s="569">
        <f t="shared" si="8"/>
        <v>55000</v>
      </c>
      <c r="J91" s="572">
        <f t="shared" si="5"/>
        <v>0</v>
      </c>
      <c r="K91" s="545" t="str">
        <f t="shared" si="6"/>
        <v/>
      </c>
      <c r="L91" s="538"/>
      <c r="M91" s="539"/>
      <c r="N91" s="4"/>
      <c r="O91" s="4"/>
      <c r="P91" s="4"/>
    </row>
    <row r="92" spans="1:16" x14ac:dyDescent="0.2">
      <c r="A92" s="551">
        <v>5534</v>
      </c>
      <c r="B92" s="540" t="s">
        <v>205</v>
      </c>
      <c r="C92" s="544">
        <v>125</v>
      </c>
      <c r="D92" s="536"/>
      <c r="E92" s="536"/>
      <c r="H92" s="537">
        <f t="shared" si="7"/>
        <v>0</v>
      </c>
      <c r="I92" s="569">
        <f t="shared" si="8"/>
        <v>0</v>
      </c>
      <c r="J92" s="572">
        <f t="shared" si="5"/>
        <v>0</v>
      </c>
      <c r="K92" s="545" t="str">
        <f t="shared" si="6"/>
        <v/>
      </c>
      <c r="L92" s="538"/>
      <c r="M92" s="539"/>
      <c r="N92" s="4"/>
      <c r="O92" s="4"/>
      <c r="P92" s="4"/>
    </row>
    <row r="93" spans="1:16" x14ac:dyDescent="0.2">
      <c r="A93" s="551">
        <v>5580</v>
      </c>
      <c r="B93" s="540" t="s">
        <v>990</v>
      </c>
      <c r="C93" s="544"/>
      <c r="D93" s="536"/>
      <c r="E93" s="536"/>
      <c r="H93" s="537">
        <f t="shared" si="7"/>
        <v>0</v>
      </c>
      <c r="I93" s="569">
        <f t="shared" si="8"/>
        <v>0</v>
      </c>
      <c r="J93" s="572">
        <f t="shared" ref="J93" si="10">+I93-H93</f>
        <v>0</v>
      </c>
      <c r="K93" s="545"/>
      <c r="L93" s="538"/>
      <c r="M93" s="539"/>
      <c r="N93" s="4"/>
      <c r="O93" s="4"/>
      <c r="P93" s="4"/>
    </row>
    <row r="94" spans="1:16" x14ac:dyDescent="0.2">
      <c r="A94" s="551">
        <v>5582</v>
      </c>
      <c r="B94" s="540" t="s">
        <v>168</v>
      </c>
      <c r="C94" s="544">
        <v>2596.34</v>
      </c>
      <c r="D94" s="536">
        <v>2080.9699999999998</v>
      </c>
      <c r="E94" s="536">
        <v>3880.7</v>
      </c>
      <c r="H94" s="537">
        <f t="shared" ref="H94:H98" si="11">+J44</f>
        <v>13500</v>
      </c>
      <c r="I94" s="569">
        <f t="shared" ref="I94:I98" si="12">+L44</f>
        <v>14000</v>
      </c>
      <c r="J94" s="572">
        <f t="shared" si="5"/>
        <v>500</v>
      </c>
      <c r="K94" s="545">
        <f t="shared" si="6"/>
        <v>3.6999999999999998E-2</v>
      </c>
      <c r="L94" s="538" t="s">
        <v>1103</v>
      </c>
      <c r="M94" s="539"/>
      <c r="N94" s="4"/>
      <c r="O94" s="4"/>
      <c r="P94" s="4"/>
    </row>
    <row r="95" spans="1:16" x14ac:dyDescent="0.2">
      <c r="A95" s="551">
        <v>5588</v>
      </c>
      <c r="B95" s="573" t="s">
        <v>209</v>
      </c>
      <c r="C95" s="544"/>
      <c r="D95" s="536"/>
      <c r="E95" s="536"/>
      <c r="H95" s="537">
        <f t="shared" si="11"/>
        <v>1000</v>
      </c>
      <c r="I95" s="569">
        <f t="shared" si="12"/>
        <v>1000</v>
      </c>
      <c r="J95" s="572">
        <f t="shared" si="5"/>
        <v>0</v>
      </c>
      <c r="K95" s="545" t="str">
        <f t="shared" si="6"/>
        <v/>
      </c>
      <c r="L95" s="538"/>
      <c r="M95" s="539"/>
      <c r="N95" s="4"/>
      <c r="O95" s="4"/>
      <c r="P95" s="4"/>
    </row>
    <row r="96" spans="1:16" x14ac:dyDescent="0.2">
      <c r="A96" s="551">
        <v>5710</v>
      </c>
      <c r="B96" s="540" t="s">
        <v>529</v>
      </c>
      <c r="C96" s="550">
        <v>44.78</v>
      </c>
      <c r="D96" s="536">
        <v>22.6</v>
      </c>
      <c r="E96" s="536"/>
      <c r="H96" s="537">
        <f t="shared" si="11"/>
        <v>125</v>
      </c>
      <c r="I96" s="569">
        <f t="shared" si="12"/>
        <v>125</v>
      </c>
      <c r="J96" s="572">
        <f t="shared" si="5"/>
        <v>0</v>
      </c>
      <c r="K96" s="545" t="str">
        <f t="shared" si="6"/>
        <v/>
      </c>
      <c r="L96" s="538"/>
      <c r="M96" s="539"/>
      <c r="N96" s="4"/>
      <c r="O96" s="4"/>
      <c r="P96" s="4"/>
    </row>
    <row r="97" spans="1:16" x14ac:dyDescent="0.2">
      <c r="A97" s="551">
        <v>5730</v>
      </c>
      <c r="B97" s="540" t="s">
        <v>142</v>
      </c>
      <c r="C97" s="546">
        <v>361</v>
      </c>
      <c r="D97" s="536">
        <v>233</v>
      </c>
      <c r="E97" s="536">
        <v>381</v>
      </c>
      <c r="H97" s="537">
        <f t="shared" si="11"/>
        <v>500</v>
      </c>
      <c r="I97" s="569">
        <f t="shared" si="12"/>
        <v>500</v>
      </c>
      <c r="J97" s="572">
        <f t="shared" si="5"/>
        <v>0</v>
      </c>
      <c r="K97" s="545" t="str">
        <f t="shared" si="6"/>
        <v/>
      </c>
      <c r="L97" s="538"/>
      <c r="M97" s="539"/>
      <c r="N97" s="4"/>
      <c r="O97" s="4"/>
      <c r="P97" s="4"/>
    </row>
    <row r="98" spans="1:16" ht="13.5" thickBot="1" x14ac:dyDescent="0.25">
      <c r="A98" s="573">
        <v>5783</v>
      </c>
      <c r="B98" s="573" t="s">
        <v>200</v>
      </c>
      <c r="C98" s="542">
        <v>780</v>
      </c>
      <c r="D98" s="542">
        <v>1710</v>
      </c>
      <c r="E98" s="542">
        <v>1440</v>
      </c>
      <c r="H98" s="537">
        <f t="shared" si="11"/>
        <v>1500</v>
      </c>
      <c r="I98" s="569">
        <f t="shared" si="12"/>
        <v>1500</v>
      </c>
      <c r="J98" s="572">
        <f t="shared" si="5"/>
        <v>0</v>
      </c>
      <c r="K98" s="545" t="str">
        <f t="shared" si="6"/>
        <v/>
      </c>
      <c r="L98" s="538"/>
      <c r="M98" s="539"/>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t="s">
        <v>1600</v>
      </c>
      <c r="C100" s="25"/>
      <c r="D100" s="25"/>
      <c r="E100" s="25"/>
      <c r="F100" s="25"/>
      <c r="G100" s="25"/>
      <c r="H100" s="849">
        <f>SUM(H61:H98)</f>
        <v>1066016</v>
      </c>
      <c r="I100" s="849">
        <f>SUM(I61:I98)</f>
        <v>1084226</v>
      </c>
      <c r="J100" s="208">
        <f t="shared" ref="J100" si="13">+I100-H100</f>
        <v>18210</v>
      </c>
      <c r="K100" s="850">
        <f t="shared" ref="K100" si="14">IF(H100+I100&lt;&gt;0,IF(H100&lt;&gt;0,IF(J100&lt;&gt;0,ROUND((+J100/H100),4),""),1),"")</f>
        <v>1.7100000000000001E-2</v>
      </c>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A123" s="4"/>
      <c r="B123" s="4"/>
      <c r="C123" s="25"/>
      <c r="D123" s="25"/>
      <c r="E123" s="25"/>
      <c r="F123" s="25"/>
      <c r="G123" s="25"/>
      <c r="H123" s="25"/>
      <c r="I123" s="25"/>
      <c r="J123" s="25"/>
      <c r="K123" s="4"/>
      <c r="L123" s="25"/>
      <c r="M123" s="25"/>
      <c r="N123" s="4"/>
      <c r="O123" s="4"/>
      <c r="P123" s="4"/>
    </row>
    <row r="124" spans="1:16" x14ac:dyDescent="0.2">
      <c r="A124" s="4"/>
      <c r="B124" s="4"/>
      <c r="C124" s="25"/>
      <c r="D124" s="25"/>
      <c r="E124" s="25"/>
      <c r="F124" s="25"/>
      <c r="G124" s="25"/>
      <c r="H124" s="25"/>
      <c r="I124" s="25"/>
      <c r="J124" s="25"/>
      <c r="K124" s="4"/>
      <c r="L124" s="25"/>
      <c r="M124" s="25"/>
      <c r="N124" s="4"/>
      <c r="O124" s="4"/>
      <c r="P124" s="4"/>
    </row>
    <row r="125" spans="1:16" x14ac:dyDescent="0.2">
      <c r="A125" s="4"/>
      <c r="B125" s="4"/>
      <c r="C125" s="25"/>
      <c r="D125" s="25"/>
      <c r="E125" s="25"/>
      <c r="F125" s="25"/>
      <c r="G125" s="25"/>
      <c r="H125" s="25"/>
      <c r="I125" s="25"/>
      <c r="J125" s="25"/>
      <c r="K125" s="4"/>
      <c r="L125" s="25"/>
      <c r="M125" s="25"/>
      <c r="N125" s="4"/>
      <c r="O125" s="4"/>
      <c r="P125" s="4"/>
    </row>
    <row r="126" spans="1:16" x14ac:dyDescent="0.2">
      <c r="A126" s="4"/>
      <c r="B126" s="4"/>
      <c r="C126" s="25"/>
      <c r="D126" s="25"/>
      <c r="E126" s="25"/>
      <c r="F126" s="25"/>
      <c r="G126" s="25"/>
      <c r="H126" s="25"/>
      <c r="I126" s="25"/>
      <c r="J126" s="25"/>
      <c r="K126" s="4"/>
      <c r="L126" s="25"/>
      <c r="M126" s="25"/>
      <c r="N126" s="4"/>
      <c r="O126" s="4"/>
      <c r="P126" s="4"/>
    </row>
    <row r="127" spans="1:16" x14ac:dyDescent="0.2">
      <c r="A127" s="4"/>
      <c r="B127" s="4"/>
      <c r="C127" s="25"/>
      <c r="D127" s="25"/>
      <c r="E127" s="25"/>
      <c r="F127" s="25"/>
      <c r="G127" s="25"/>
      <c r="H127" s="25"/>
      <c r="I127" s="25"/>
      <c r="J127" s="25"/>
      <c r="K127" s="4"/>
      <c r="L127" s="25"/>
      <c r="M127" s="25"/>
      <c r="N127" s="4"/>
      <c r="O127" s="4"/>
      <c r="P127" s="4"/>
    </row>
    <row r="128" spans="1:16" x14ac:dyDescent="0.2">
      <c r="A128" s="4"/>
      <c r="B128" s="4"/>
      <c r="C128" s="25"/>
      <c r="D128" s="25"/>
      <c r="E128" s="25"/>
      <c r="F128" s="25"/>
      <c r="G128" s="25"/>
      <c r="H128" s="25"/>
      <c r="I128" s="25"/>
      <c r="J128" s="25"/>
      <c r="K128" s="4"/>
      <c r="L128" s="25"/>
      <c r="M128" s="25"/>
      <c r="N128" s="4"/>
      <c r="O128" s="4"/>
      <c r="P128" s="4"/>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sheetData>
  <phoneticPr fontId="0" type="noConversion"/>
  <hyperlinks>
    <hyperlink ref="A1" location="'420 DPW'!A1" display="Main 440"/>
    <hyperlink ref="B1" location="'Table of Contents'!A1" display="TOC"/>
  </hyperlinks>
  <pageMargins left="0.75" right="0.75" top="1" bottom="1" header="0.5" footer="0.5"/>
  <pageSetup scale="93" fitToHeight="3" orientation="landscape" horizontalDpi="300" verticalDpi="300" r:id="rId1"/>
  <headerFooter alignWithMargins="0">
    <oddFooter>&amp;L&amp;D     &amp;T&amp;C&amp;F&amp;R&amp;A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4"/>
  <sheetViews>
    <sheetView zoomScale="85" workbookViewId="0">
      <pane ySplit="7" topLeftCell="A8" activePane="bottomLeft" state="frozen"/>
      <selection activeCell="K15" sqref="K15"/>
      <selection pane="bottomLeft" activeCell="L9" sqref="L9"/>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1014</v>
      </c>
      <c r="B1" s="410" t="s">
        <v>1418</v>
      </c>
      <c r="M1"/>
    </row>
    <row r="2" spans="1:16" ht="15" x14ac:dyDescent="0.25">
      <c r="A2" s="49" t="s">
        <v>257</v>
      </c>
      <c r="B2" s="49"/>
      <c r="E2" s="153"/>
      <c r="H2" s="153" t="s">
        <v>252</v>
      </c>
      <c r="I2" s="153"/>
      <c r="J2" s="153"/>
      <c r="K2" s="67" t="s">
        <v>360</v>
      </c>
      <c r="M2" s="50" t="s">
        <v>949</v>
      </c>
      <c r="O2" s="50"/>
    </row>
    <row r="3" spans="1:16" ht="13.5" thickBot="1" x14ac:dyDescent="0.25">
      <c r="A3" s="4"/>
      <c r="B3" s="4"/>
      <c r="C3" s="25"/>
      <c r="D3" s="25"/>
      <c r="E3" s="25"/>
      <c r="F3" s="25"/>
      <c r="G3" s="25"/>
      <c r="H3" s="25"/>
      <c r="I3" s="25"/>
      <c r="J3" s="25"/>
      <c r="K3" s="4"/>
      <c r="L3" s="25"/>
      <c r="M3" s="4"/>
      <c r="O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10"/>
      <c r="B8" s="192"/>
      <c r="C8" s="139"/>
      <c r="D8" s="345"/>
      <c r="E8" s="345"/>
      <c r="F8" s="345"/>
      <c r="G8" s="345"/>
      <c r="H8" s="345"/>
      <c r="I8" s="345"/>
      <c r="J8" s="177"/>
      <c r="K8" s="68"/>
      <c r="L8" s="11"/>
      <c r="M8" s="11"/>
    </row>
    <row r="9" spans="1:16" x14ac:dyDescent="0.2">
      <c r="A9" s="12">
        <v>5112</v>
      </c>
      <c r="B9" s="69" t="s">
        <v>154</v>
      </c>
      <c r="C9" s="460">
        <v>41932.800000000003</v>
      </c>
      <c r="D9" s="14">
        <f>2803.4+57361.7</f>
        <v>60165.1</v>
      </c>
      <c r="E9" s="156">
        <v>81342.8</v>
      </c>
      <c r="F9" s="156">
        <v>83923.6</v>
      </c>
      <c r="G9" s="156">
        <v>121300</v>
      </c>
      <c r="H9" s="156">
        <v>128377.60000000001</v>
      </c>
      <c r="I9" s="14">
        <v>134014.39999999999</v>
      </c>
      <c r="J9" s="15">
        <f>2058+138390</f>
        <v>140448</v>
      </c>
      <c r="K9" s="14">
        <v>66880</v>
      </c>
      <c r="L9" s="15">
        <f>ROUND((+'420 DPW'!K77+'420 DPW'!K78+'420 DPW'!K79),0)</f>
        <v>145004</v>
      </c>
      <c r="M9" s="15"/>
    </row>
    <row r="10" spans="1:16" x14ac:dyDescent="0.2">
      <c r="A10" s="12">
        <v>5124</v>
      </c>
      <c r="B10" s="69" t="s">
        <v>97</v>
      </c>
      <c r="C10" s="460">
        <v>4630</v>
      </c>
      <c r="D10" s="14">
        <f>65.57+4175</f>
        <v>4240.57</v>
      </c>
      <c r="E10" s="156">
        <v>3855</v>
      </c>
      <c r="F10" s="156">
        <v>5060</v>
      </c>
      <c r="G10" s="156">
        <v>3335</v>
      </c>
      <c r="H10" s="156">
        <v>4303.75</v>
      </c>
      <c r="I10" s="14">
        <v>3720</v>
      </c>
      <c r="J10" s="15">
        <v>6000</v>
      </c>
      <c r="K10" s="14">
        <v>3720</v>
      </c>
      <c r="L10" s="15">
        <v>6000</v>
      </c>
      <c r="M10" s="15"/>
    </row>
    <row r="11" spans="1:16" x14ac:dyDescent="0.2">
      <c r="A11" s="12">
        <v>5132</v>
      </c>
      <c r="B11" s="69" t="s">
        <v>85</v>
      </c>
      <c r="C11" s="460">
        <v>3754.23</v>
      </c>
      <c r="D11" s="14">
        <v>1646.91</v>
      </c>
      <c r="E11" s="156">
        <v>1559.88</v>
      </c>
      <c r="F11" s="156">
        <v>2932.54</v>
      </c>
      <c r="G11" s="156">
        <v>3098.86</v>
      </c>
      <c r="H11" s="156">
        <v>1788.23</v>
      </c>
      <c r="I11" s="14">
        <v>3413.58</v>
      </c>
      <c r="J11" s="15">
        <v>4000</v>
      </c>
      <c r="K11" s="14">
        <v>3489.48</v>
      </c>
      <c r="L11" s="15">
        <v>5000</v>
      </c>
      <c r="M11" s="15"/>
    </row>
    <row r="12" spans="1:16" ht="13.5" thickBot="1" x14ac:dyDescent="0.25">
      <c r="A12" s="12">
        <v>5142</v>
      </c>
      <c r="B12" s="69" t="s">
        <v>159</v>
      </c>
      <c r="C12" s="462">
        <v>3.3</v>
      </c>
      <c r="D12" s="16"/>
      <c r="E12" s="16"/>
      <c r="F12" s="16"/>
      <c r="G12" s="16"/>
      <c r="H12" s="16"/>
      <c r="I12" s="16"/>
      <c r="J12" s="17"/>
      <c r="K12" s="16">
        <v>0</v>
      </c>
      <c r="L12" s="17"/>
      <c r="M12" s="17"/>
    </row>
    <row r="13" spans="1:16" x14ac:dyDescent="0.2">
      <c r="A13" s="12"/>
      <c r="B13" s="70" t="s">
        <v>125</v>
      </c>
      <c r="C13" s="461">
        <f t="shared" ref="C13:K13" si="0">SUM(C9:C12)</f>
        <v>50320.330000000009</v>
      </c>
      <c r="D13" s="19">
        <f t="shared" si="0"/>
        <v>66052.58</v>
      </c>
      <c r="E13" s="19">
        <f t="shared" si="0"/>
        <v>86757.680000000008</v>
      </c>
      <c r="F13" s="19">
        <f>SUM(F9:F12)</f>
        <v>91916.14</v>
      </c>
      <c r="G13" s="19">
        <f>SUM(G9:G12)</f>
        <v>127733.86</v>
      </c>
      <c r="H13" s="19">
        <f>SUM(H9:H12)</f>
        <v>134469.58000000002</v>
      </c>
      <c r="I13" s="19">
        <f t="shared" si="0"/>
        <v>141147.97999999998</v>
      </c>
      <c r="J13" s="20">
        <f>SUM(J9:J12)</f>
        <v>150448</v>
      </c>
      <c r="K13" s="19">
        <f t="shared" si="0"/>
        <v>74089.48</v>
      </c>
      <c r="L13" s="20">
        <f>SUM(L9:L12)</f>
        <v>156004</v>
      </c>
      <c r="M13" s="20">
        <f>SUM(M9:M12)</f>
        <v>0</v>
      </c>
    </row>
    <row r="14" spans="1:16" x14ac:dyDescent="0.2">
      <c r="A14" s="12"/>
      <c r="B14" s="69"/>
      <c r="C14" s="460"/>
      <c r="D14" s="14"/>
      <c r="E14" s="14"/>
      <c r="F14" s="14"/>
      <c r="G14" s="14"/>
      <c r="H14" s="14"/>
      <c r="I14" s="14"/>
      <c r="J14" s="15"/>
      <c r="K14" s="14"/>
      <c r="L14" s="15"/>
      <c r="M14" s="15"/>
    </row>
    <row r="15" spans="1:16" x14ac:dyDescent="0.2">
      <c r="A15" s="12">
        <v>5443</v>
      </c>
      <c r="B15" s="69" t="s">
        <v>196</v>
      </c>
      <c r="C15" s="460">
        <v>4952.8900000000003</v>
      </c>
      <c r="D15" s="14">
        <v>5225.26</v>
      </c>
      <c r="E15" s="156">
        <v>8534.39</v>
      </c>
      <c r="F15" s="156">
        <v>9126.2199999999993</v>
      </c>
      <c r="G15" s="156">
        <v>10174.370000000001</v>
      </c>
      <c r="H15" s="156">
        <v>8223.6</v>
      </c>
      <c r="I15" s="14">
        <v>9133.7099999999991</v>
      </c>
      <c r="J15" s="15">
        <v>8500</v>
      </c>
      <c r="K15" s="14">
        <v>3533.58</v>
      </c>
      <c r="L15" s="15">
        <v>9000</v>
      </c>
      <c r="M15" s="15"/>
    </row>
    <row r="16" spans="1:16" ht="13.5" thickBot="1" x14ac:dyDescent="0.25">
      <c r="A16" s="12">
        <v>5460</v>
      </c>
      <c r="B16" s="69" t="s">
        <v>198</v>
      </c>
      <c r="C16" s="462">
        <v>512</v>
      </c>
      <c r="D16" s="16">
        <v>2052.3200000000002</v>
      </c>
      <c r="E16" s="16"/>
      <c r="F16" s="16">
        <v>40</v>
      </c>
      <c r="G16" s="16">
        <v>0</v>
      </c>
      <c r="H16" s="16"/>
      <c r="I16" s="16">
        <v>0</v>
      </c>
      <c r="J16" s="17">
        <v>2000</v>
      </c>
      <c r="K16" s="16"/>
      <c r="L16" s="17">
        <v>2000</v>
      </c>
      <c r="M16" s="17"/>
    </row>
    <row r="17" spans="1:16" x14ac:dyDescent="0.2">
      <c r="A17" s="12"/>
      <c r="B17" s="70" t="s">
        <v>442</v>
      </c>
      <c r="C17" s="142">
        <f t="shared" ref="C17:L17" si="1">SUM(C15:C16)</f>
        <v>5464.89</v>
      </c>
      <c r="D17" s="19">
        <f t="shared" si="1"/>
        <v>7277.58</v>
      </c>
      <c r="E17" s="19">
        <f t="shared" si="1"/>
        <v>8534.39</v>
      </c>
      <c r="F17" s="19">
        <f>SUM(F15:F16)</f>
        <v>9166.2199999999993</v>
      </c>
      <c r="G17" s="19">
        <f>SUM(G15:G16)</f>
        <v>10174.370000000001</v>
      </c>
      <c r="H17" s="19">
        <f>SUM(H15:H16)</f>
        <v>8223.6</v>
      </c>
      <c r="I17" s="19">
        <f t="shared" si="1"/>
        <v>9133.7099999999991</v>
      </c>
      <c r="J17" s="20">
        <f t="shared" ref="J17" si="2">SUM(J15:J16)</f>
        <v>10500</v>
      </c>
      <c r="K17" s="19">
        <f t="shared" si="1"/>
        <v>3533.58</v>
      </c>
      <c r="L17" s="20">
        <f t="shared" si="1"/>
        <v>11000</v>
      </c>
      <c r="M17" s="20">
        <f>SUM(M15:M16)</f>
        <v>0</v>
      </c>
    </row>
    <row r="18" spans="1:16" x14ac:dyDescent="0.2">
      <c r="A18" s="12"/>
      <c r="B18" s="69"/>
      <c r="C18" s="140"/>
      <c r="D18" s="14"/>
      <c r="E18" s="14"/>
      <c r="F18" s="14"/>
      <c r="G18" s="14"/>
      <c r="H18" s="14"/>
      <c r="I18" s="14"/>
      <c r="J18" s="15"/>
      <c r="K18" s="14"/>
      <c r="L18" s="15"/>
      <c r="M18" s="15"/>
    </row>
    <row r="19" spans="1:16" ht="13.5" thickBot="1" x14ac:dyDescent="0.25">
      <c r="A19" s="21"/>
      <c r="B19" s="22" t="s">
        <v>455</v>
      </c>
      <c r="C19" s="23">
        <f t="shared" ref="C19:L19" si="3">+C17+C13</f>
        <v>55785.220000000008</v>
      </c>
      <c r="D19" s="23">
        <f t="shared" si="3"/>
        <v>73330.16</v>
      </c>
      <c r="E19" s="23">
        <f>+E17+E13</f>
        <v>95292.07</v>
      </c>
      <c r="F19" s="23">
        <f>+F17+F13</f>
        <v>101082.36</v>
      </c>
      <c r="G19" s="23">
        <f>+G17+G13</f>
        <v>137908.23000000001</v>
      </c>
      <c r="H19" s="23">
        <f>+H17+H13</f>
        <v>142693.18000000002</v>
      </c>
      <c r="I19" s="23">
        <f>+I17+I13</f>
        <v>150281.68999999997</v>
      </c>
      <c r="J19" s="24">
        <f t="shared" ref="J19" si="4">+J17+J13</f>
        <v>160948</v>
      </c>
      <c r="K19" s="23">
        <f t="shared" si="3"/>
        <v>77623.06</v>
      </c>
      <c r="L19" s="24">
        <f t="shared" si="3"/>
        <v>167004</v>
      </c>
      <c r="M19" s="24">
        <f>+L19</f>
        <v>167004</v>
      </c>
    </row>
    <row r="20" spans="1:16" ht="13.5" thickTop="1" x14ac:dyDescent="0.2">
      <c r="A20" s="4"/>
      <c r="B20" s="4"/>
      <c r="C20" s="25"/>
      <c r="D20" s="25"/>
      <c r="E20" s="25"/>
      <c r="F20" s="25"/>
      <c r="G20" s="25"/>
      <c r="H20" s="25"/>
      <c r="I20" s="25"/>
      <c r="J20" s="25"/>
      <c r="K20" s="29"/>
      <c r="L20" s="25"/>
      <c r="M20" s="25"/>
      <c r="N20" s="29"/>
      <c r="O20" s="29"/>
      <c r="P20" s="29"/>
    </row>
    <row r="21" spans="1:16" ht="13.5" thickBot="1" x14ac:dyDescent="0.25">
      <c r="A21" s="4"/>
      <c r="B21" s="4"/>
      <c r="C21" s="25"/>
      <c r="D21" s="25"/>
      <c r="E21" s="25"/>
      <c r="F21" s="25"/>
      <c r="G21" s="25"/>
      <c r="H21" s="25"/>
      <c r="I21" s="25"/>
      <c r="J21" s="25"/>
      <c r="K21" s="29"/>
      <c r="L21" s="25"/>
      <c r="M21" s="29"/>
      <c r="N21" s="29"/>
      <c r="O21" s="29"/>
      <c r="P21" s="29"/>
    </row>
    <row r="22" spans="1:16" ht="13.5" thickTop="1" x14ac:dyDescent="0.2">
      <c r="A22" s="517"/>
      <c r="B22" s="518"/>
      <c r="C22" s="519" t="s">
        <v>122</v>
      </c>
      <c r="D22" s="520" t="s">
        <v>122</v>
      </c>
      <c r="E22" s="520" t="s">
        <v>122</v>
      </c>
      <c r="H22" s="521" t="s">
        <v>542</v>
      </c>
      <c r="I22" s="522" t="s">
        <v>9</v>
      </c>
      <c r="J22" s="523" t="s">
        <v>1073</v>
      </c>
      <c r="K22" s="522" t="s">
        <v>682</v>
      </c>
      <c r="L22" s="524"/>
      <c r="M22" s="523"/>
      <c r="N22" s="29"/>
      <c r="O22" s="29"/>
      <c r="P22" s="29"/>
    </row>
    <row r="23" spans="1:16" ht="13.5" thickBot="1" x14ac:dyDescent="0.25">
      <c r="A23" s="525" t="s">
        <v>123</v>
      </c>
      <c r="B23" s="526"/>
      <c r="C23" s="527" t="s">
        <v>334</v>
      </c>
      <c r="D23" s="527" t="s">
        <v>718</v>
      </c>
      <c r="E23" s="528" t="s">
        <v>734</v>
      </c>
      <c r="H23" s="529" t="s">
        <v>899</v>
      </c>
      <c r="I23" s="529" t="s">
        <v>900</v>
      </c>
      <c r="J23" s="528" t="s">
        <v>1075</v>
      </c>
      <c r="K23" s="530" t="s">
        <v>1075</v>
      </c>
      <c r="L23" s="531" t="s">
        <v>1074</v>
      </c>
      <c r="M23" s="529"/>
      <c r="N23" s="29"/>
      <c r="O23" s="29"/>
      <c r="P23" s="29"/>
    </row>
    <row r="24" spans="1:16" ht="13.5" thickTop="1" x14ac:dyDescent="0.2">
      <c r="A24" s="557"/>
      <c r="B24" s="558"/>
      <c r="C24" s="559"/>
      <c r="D24" s="560"/>
      <c r="E24" s="560"/>
      <c r="H24" s="561"/>
      <c r="I24" s="560"/>
      <c r="J24" s="561"/>
      <c r="K24" s="559"/>
      <c r="L24" s="538"/>
      <c r="M24" s="539"/>
      <c r="N24" s="29"/>
      <c r="O24" s="29"/>
      <c r="P24" s="29"/>
    </row>
    <row r="25" spans="1:16" x14ac:dyDescent="0.2">
      <c r="A25" s="551">
        <v>5112</v>
      </c>
      <c r="B25" s="540" t="s">
        <v>154</v>
      </c>
      <c r="C25" s="544">
        <v>41932.800000000003</v>
      </c>
      <c r="D25" s="544">
        <f>2803.4+57361.7</f>
        <v>60165.1</v>
      </c>
      <c r="E25" s="544">
        <v>81342.8</v>
      </c>
      <c r="H25" s="543">
        <f>+J9</f>
        <v>140448</v>
      </c>
      <c r="I25" s="569">
        <f>+L9</f>
        <v>145004</v>
      </c>
      <c r="J25" s="572">
        <f>+I25-H25</f>
        <v>4556</v>
      </c>
      <c r="K25" s="545">
        <f>IF(H25+I25&lt;&gt;0,IF(H25&lt;&gt;0,IF(J25&lt;&gt;0,ROUND((+J25/H25),4),""),1),"")</f>
        <v>3.2399999999999998E-2</v>
      </c>
      <c r="L25" s="538" t="s">
        <v>1103</v>
      </c>
      <c r="M25" s="539"/>
      <c r="N25" s="29"/>
      <c r="O25" s="29"/>
      <c r="P25" s="29"/>
    </row>
    <row r="26" spans="1:16" x14ac:dyDescent="0.2">
      <c r="A26" s="551">
        <v>5124</v>
      </c>
      <c r="B26" s="540" t="s">
        <v>97</v>
      </c>
      <c r="C26" s="544">
        <v>4630</v>
      </c>
      <c r="D26" s="544">
        <f>65.57+4175</f>
        <v>4240.57</v>
      </c>
      <c r="E26" s="544">
        <v>3855</v>
      </c>
      <c r="H26" s="543">
        <f t="shared" ref="H26:H27" si="5">+J10</f>
        <v>6000</v>
      </c>
      <c r="I26" s="569">
        <f>+L10</f>
        <v>6000</v>
      </c>
      <c r="J26" s="572">
        <f>+I26-H26</f>
        <v>0</v>
      </c>
      <c r="K26" s="545" t="str">
        <f>IF(H26+I26&lt;&gt;0,IF(H26&lt;&gt;0,IF(J26&lt;&gt;0,ROUND((+J26/H26),4),""),1),"")</f>
        <v/>
      </c>
      <c r="L26" s="538"/>
      <c r="M26" s="539"/>
      <c r="N26" s="29"/>
      <c r="O26" s="29"/>
      <c r="P26" s="29"/>
    </row>
    <row r="27" spans="1:16" x14ac:dyDescent="0.2">
      <c r="A27" s="551">
        <v>5132</v>
      </c>
      <c r="B27" s="540" t="s">
        <v>85</v>
      </c>
      <c r="C27" s="544">
        <v>3754.23</v>
      </c>
      <c r="D27" s="544">
        <v>1646.91</v>
      </c>
      <c r="E27" s="544">
        <v>1559.88</v>
      </c>
      <c r="H27" s="543">
        <f t="shared" si="5"/>
        <v>4000</v>
      </c>
      <c r="I27" s="569">
        <f>+L11</f>
        <v>5000</v>
      </c>
      <c r="J27" s="572">
        <f>+I27-H27</f>
        <v>1000</v>
      </c>
      <c r="K27" s="545">
        <f>IF(H27+I27&lt;&gt;0,IF(H27&lt;&gt;0,IF(J27&lt;&gt;0,ROUND((+J27/H27),4),""),1),"")</f>
        <v>0.25</v>
      </c>
      <c r="L27" s="538" t="s">
        <v>1556</v>
      </c>
      <c r="M27" s="539"/>
      <c r="N27" s="29"/>
      <c r="O27" s="29"/>
      <c r="P27" s="29"/>
    </row>
    <row r="28" spans="1:16" x14ac:dyDescent="0.2">
      <c r="A28" s="551">
        <v>5443</v>
      </c>
      <c r="B28" s="540" t="s">
        <v>196</v>
      </c>
      <c r="C28" s="544">
        <v>4952.8900000000003</v>
      </c>
      <c r="D28" s="544">
        <v>5225.26</v>
      </c>
      <c r="E28" s="544">
        <v>8534.39</v>
      </c>
      <c r="H28" s="543">
        <f>+J15</f>
        <v>8500</v>
      </c>
      <c r="I28" s="569">
        <f>+L15</f>
        <v>9000</v>
      </c>
      <c r="J28" s="572">
        <f>+I28-H28</f>
        <v>500</v>
      </c>
      <c r="K28" s="545">
        <f>IF(H28+I28&lt;&gt;0,IF(H28&lt;&gt;0,IF(J28&lt;&gt;0,ROUND((+J28/H28),4),""),1),"")</f>
        <v>5.8799999999999998E-2</v>
      </c>
      <c r="L28" s="538" t="s">
        <v>1556</v>
      </c>
      <c r="M28" s="539"/>
      <c r="N28" s="29"/>
      <c r="O28" s="29"/>
      <c r="P28" s="29"/>
    </row>
    <row r="29" spans="1:16" ht="13.5" thickBot="1" x14ac:dyDescent="0.25">
      <c r="A29" s="551">
        <v>5460</v>
      </c>
      <c r="B29" s="540" t="s">
        <v>198</v>
      </c>
      <c r="C29" s="542">
        <v>512</v>
      </c>
      <c r="D29" s="542">
        <v>2052.3200000000002</v>
      </c>
      <c r="E29" s="542"/>
      <c r="H29" s="543">
        <f>+J16</f>
        <v>2000</v>
      </c>
      <c r="I29" s="569">
        <f>+L16</f>
        <v>2000</v>
      </c>
      <c r="J29" s="572">
        <f>+I29-H29</f>
        <v>0</v>
      </c>
      <c r="K29" s="545" t="str">
        <f>IF(H29+I29&lt;&gt;0,IF(H29&lt;&gt;0,IF(J29&lt;&gt;0,ROUND((+J29/H29),4),""),1),"")</f>
        <v/>
      </c>
      <c r="L29" s="538"/>
      <c r="M29" s="539"/>
      <c r="N29" s="29"/>
      <c r="O29" s="29"/>
      <c r="P29" s="29"/>
    </row>
    <row r="30" spans="1:16" x14ac:dyDescent="0.2">
      <c r="A30" s="4"/>
      <c r="B30" s="4"/>
      <c r="C30" s="25"/>
      <c r="D30" s="25"/>
      <c r="E30" s="25"/>
      <c r="F30" s="25"/>
      <c r="G30" s="25"/>
      <c r="H30" s="25"/>
      <c r="I30" s="25"/>
      <c r="J30" s="25"/>
      <c r="K30" s="29"/>
      <c r="L30" s="25"/>
      <c r="M30" s="25"/>
      <c r="N30" s="29"/>
      <c r="O30" s="29"/>
      <c r="P30" s="29"/>
    </row>
    <row r="31" spans="1:16" x14ac:dyDescent="0.2">
      <c r="A31" s="4"/>
      <c r="B31" s="4" t="s">
        <v>1600</v>
      </c>
      <c r="C31" s="25"/>
      <c r="D31" s="25"/>
      <c r="E31" s="25"/>
      <c r="F31" s="25"/>
      <c r="G31" s="25"/>
      <c r="H31" s="849">
        <f>SUM(H24:H30)</f>
        <v>160948</v>
      </c>
      <c r="I31" s="849">
        <f>SUM(I24:I30)</f>
        <v>167004</v>
      </c>
      <c r="J31" s="208">
        <f t="shared" ref="J31" si="6">+I31-H31</f>
        <v>6056</v>
      </c>
      <c r="K31" s="850">
        <f t="shared" ref="K31" si="7">IF(H31+I31&lt;&gt;0,IF(H31&lt;&gt;0,IF(J31&lt;&gt;0,ROUND((+J31/H31),4),""),1),"")</f>
        <v>3.7600000000000001E-2</v>
      </c>
      <c r="L31" s="25"/>
      <c r="M31" s="25"/>
      <c r="N31" s="29"/>
      <c r="O31" s="29"/>
      <c r="P31" s="29"/>
    </row>
    <row r="32" spans="1:16" x14ac:dyDescent="0.2">
      <c r="A32" s="4"/>
      <c r="B32" s="4"/>
      <c r="C32" s="25"/>
      <c r="D32" s="25"/>
      <c r="E32" s="25"/>
      <c r="F32" s="25"/>
      <c r="G32" s="25"/>
      <c r="H32" s="25"/>
      <c r="I32" s="25"/>
      <c r="J32" s="25"/>
      <c r="K32" s="29"/>
      <c r="L32" s="25"/>
      <c r="M32" s="25"/>
      <c r="N32" s="29"/>
      <c r="O32" s="29"/>
      <c r="P32" s="29"/>
    </row>
    <row r="33" spans="1:16" x14ac:dyDescent="0.2">
      <c r="A33" s="4"/>
      <c r="B33" s="4"/>
      <c r="C33" s="25"/>
      <c r="D33" s="25"/>
      <c r="E33" s="25"/>
      <c r="F33" s="25"/>
      <c r="G33" s="25"/>
      <c r="H33" s="25"/>
      <c r="I33" s="25"/>
      <c r="J33" s="25"/>
      <c r="K33" s="29"/>
      <c r="L33" s="25"/>
      <c r="M33" s="25"/>
      <c r="N33" s="29"/>
      <c r="O33" s="29"/>
      <c r="P33" s="29"/>
    </row>
    <row r="34" spans="1:16" x14ac:dyDescent="0.2">
      <c r="A34" s="4"/>
      <c r="B34" s="4"/>
      <c r="C34" s="25"/>
      <c r="D34" s="25"/>
      <c r="E34" s="25"/>
      <c r="F34" s="25"/>
      <c r="G34" s="25"/>
      <c r="H34" s="25"/>
      <c r="I34" s="25"/>
      <c r="J34" s="25"/>
      <c r="K34" s="29"/>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9"/>
      <c r="L42" s="25"/>
      <c r="M42" s="25"/>
      <c r="N42" s="29"/>
      <c r="O42" s="29"/>
      <c r="P42" s="29"/>
    </row>
    <row r="43" spans="1:16" x14ac:dyDescent="0.2">
      <c r="A43" s="4"/>
      <c r="B43" s="4"/>
      <c r="C43" s="25"/>
      <c r="D43" s="25"/>
      <c r="E43" s="25"/>
      <c r="F43" s="25"/>
      <c r="G43" s="25"/>
      <c r="H43" s="25"/>
      <c r="I43" s="25"/>
      <c r="J43" s="25"/>
      <c r="K43" s="29"/>
      <c r="L43" s="25"/>
      <c r="M43" s="25"/>
      <c r="N43" s="29"/>
      <c r="O43" s="29"/>
      <c r="P43" s="29"/>
    </row>
    <row r="44" spans="1:16" x14ac:dyDescent="0.2">
      <c r="A44" s="4"/>
      <c r="B44" s="4"/>
      <c r="C44" s="25"/>
      <c r="D44" s="25"/>
      <c r="E44" s="25"/>
      <c r="F44" s="25"/>
      <c r="G44" s="25"/>
      <c r="H44" s="25"/>
      <c r="I44" s="25"/>
      <c r="J44" s="25"/>
      <c r="K44" s="29"/>
      <c r="L44" s="25"/>
      <c r="M44" s="25"/>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c r="C46" s="25"/>
      <c r="D46" s="25"/>
      <c r="E46" s="25"/>
      <c r="F46" s="25"/>
      <c r="G46" s="25"/>
      <c r="H46" s="25"/>
      <c r="I46" s="25"/>
      <c r="J46" s="25"/>
      <c r="K46" s="29"/>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29"/>
      <c r="L50" s="25"/>
      <c r="M50" s="25"/>
      <c r="N50" s="29"/>
      <c r="O50" s="29"/>
      <c r="P50" s="29"/>
    </row>
    <row r="51" spans="1:16" x14ac:dyDescent="0.2">
      <c r="A51" s="4"/>
      <c r="B51" s="4"/>
      <c r="C51" s="25"/>
      <c r="D51" s="25"/>
      <c r="E51" s="25"/>
      <c r="F51" s="25"/>
      <c r="G51" s="25"/>
      <c r="H51" s="25"/>
      <c r="I51" s="25"/>
      <c r="J51" s="25"/>
      <c r="K51" s="29"/>
      <c r="L51" s="25"/>
      <c r="M51" s="25"/>
      <c r="N51" s="29"/>
      <c r="O51" s="29"/>
      <c r="P51" s="29"/>
    </row>
    <row r="52" spans="1:16" x14ac:dyDescent="0.2">
      <c r="A52" s="4"/>
      <c r="B52" s="4"/>
      <c r="C52" s="25"/>
      <c r="D52" s="25"/>
      <c r="E52" s="25"/>
      <c r="F52" s="25"/>
      <c r="G52" s="25"/>
      <c r="H52" s="25"/>
      <c r="I52" s="25"/>
      <c r="J52" s="25"/>
      <c r="K52" s="29"/>
      <c r="L52" s="25"/>
      <c r="M52" s="25"/>
      <c r="N52" s="29"/>
      <c r="O52" s="29"/>
      <c r="P52" s="29"/>
    </row>
    <row r="53" spans="1:16" x14ac:dyDescent="0.2">
      <c r="A53" s="4"/>
      <c r="B53" s="4"/>
      <c r="C53" s="25"/>
      <c r="D53" s="25"/>
      <c r="E53" s="25"/>
      <c r="F53" s="25"/>
      <c r="G53" s="25"/>
      <c r="H53" s="25"/>
      <c r="I53" s="25"/>
      <c r="J53" s="25"/>
      <c r="K53" s="29"/>
      <c r="L53" s="25"/>
      <c r="M53" s="25"/>
      <c r="N53" s="29"/>
      <c r="O53" s="29"/>
      <c r="P53" s="29"/>
    </row>
    <row r="54" spans="1:16" x14ac:dyDescent="0.2">
      <c r="A54" s="4"/>
      <c r="B54" s="4"/>
      <c r="C54" s="25"/>
      <c r="D54" s="25"/>
      <c r="E54" s="25"/>
      <c r="F54" s="25"/>
      <c r="G54" s="25"/>
      <c r="H54" s="25"/>
      <c r="I54" s="25"/>
      <c r="J54" s="25"/>
      <c r="K54" s="29"/>
      <c r="L54" s="25"/>
      <c r="M54" s="25"/>
      <c r="N54" s="29"/>
      <c r="O54" s="29"/>
      <c r="P54" s="29"/>
    </row>
    <row r="55" spans="1:16" x14ac:dyDescent="0.2">
      <c r="A55" s="4"/>
      <c r="B55" s="4"/>
      <c r="C55" s="25"/>
      <c r="D55" s="25"/>
      <c r="E55" s="25"/>
      <c r="F55" s="25"/>
      <c r="G55" s="25"/>
      <c r="H55" s="25"/>
      <c r="I55" s="25"/>
      <c r="J55" s="25"/>
      <c r="K55" s="29"/>
      <c r="L55" s="25"/>
      <c r="M55" s="25"/>
      <c r="N55" s="29"/>
      <c r="O55" s="29"/>
      <c r="P55" s="29"/>
    </row>
    <row r="56" spans="1:16" x14ac:dyDescent="0.2">
      <c r="A56" s="4"/>
      <c r="B56" s="4"/>
      <c r="C56" s="25"/>
      <c r="D56" s="25"/>
      <c r="E56" s="25"/>
      <c r="F56" s="25"/>
      <c r="G56" s="25"/>
      <c r="H56" s="25"/>
      <c r="I56" s="25"/>
      <c r="J56" s="25"/>
      <c r="K56" s="4"/>
      <c r="L56" s="25"/>
      <c r="M56" s="25"/>
      <c r="N56" s="4"/>
      <c r="O56" s="4"/>
      <c r="P56" s="4"/>
    </row>
    <row r="57" spans="1:16" x14ac:dyDescent="0.2">
      <c r="A57" s="4"/>
      <c r="B57" s="4"/>
      <c r="C57" s="25"/>
      <c r="D57" s="25"/>
      <c r="E57" s="25"/>
      <c r="F57" s="25"/>
      <c r="G57" s="25"/>
      <c r="H57" s="25"/>
      <c r="I57" s="25"/>
      <c r="J57" s="25"/>
      <c r="K57" s="4"/>
      <c r="L57" s="25"/>
      <c r="M57" s="25"/>
      <c r="N57" s="4"/>
      <c r="O57" s="4"/>
      <c r="P57" s="4"/>
    </row>
    <row r="58" spans="1:16" x14ac:dyDescent="0.2">
      <c r="A58" s="4"/>
      <c r="B58" s="4"/>
      <c r="C58" s="25"/>
      <c r="D58" s="25"/>
      <c r="E58" s="25"/>
      <c r="F58" s="25"/>
      <c r="G58" s="25"/>
      <c r="H58" s="25"/>
      <c r="I58" s="25"/>
      <c r="J58" s="25"/>
      <c r="K58" s="4"/>
      <c r="L58" s="25"/>
      <c r="M58" s="25"/>
      <c r="N58" s="4"/>
      <c r="O58" s="4"/>
      <c r="P58" s="4"/>
    </row>
    <row r="59" spans="1:16" x14ac:dyDescent="0.2">
      <c r="A59" s="4"/>
      <c r="B59" s="4"/>
      <c r="C59" s="25"/>
      <c r="D59" s="25"/>
      <c r="E59" s="25"/>
      <c r="F59" s="25"/>
      <c r="G59" s="25"/>
      <c r="H59" s="25"/>
      <c r="I59" s="25"/>
      <c r="J59" s="25"/>
      <c r="K59" s="4"/>
      <c r="L59" s="25"/>
      <c r="M59" s="25"/>
      <c r="N59" s="4"/>
      <c r="O59" s="4"/>
      <c r="P59" s="4"/>
    </row>
    <row r="60" spans="1:16" x14ac:dyDescent="0.2">
      <c r="A60" s="4"/>
      <c r="B60" s="4"/>
      <c r="C60" s="25"/>
      <c r="D60" s="25"/>
      <c r="E60" s="25"/>
      <c r="F60" s="25"/>
      <c r="G60" s="25"/>
      <c r="H60" s="25"/>
      <c r="I60" s="25"/>
      <c r="J60" s="25"/>
      <c r="K60" s="4"/>
      <c r="L60" s="25"/>
      <c r="M60" s="25"/>
      <c r="N60" s="4"/>
      <c r="O60" s="4"/>
      <c r="P60" s="4"/>
    </row>
    <row r="61" spans="1:16" x14ac:dyDescent="0.2">
      <c r="A61" s="4"/>
      <c r="B61" s="4"/>
      <c r="C61" s="25"/>
      <c r="D61" s="25"/>
      <c r="E61" s="25"/>
      <c r="F61" s="25"/>
      <c r="G61" s="25"/>
      <c r="H61" s="25"/>
      <c r="I61" s="25"/>
      <c r="J61" s="25"/>
      <c r="K61" s="4"/>
      <c r="L61" s="25"/>
      <c r="M61" s="25"/>
      <c r="N61" s="4"/>
      <c r="O61" s="4"/>
      <c r="P61" s="4"/>
    </row>
    <row r="62" spans="1:16" x14ac:dyDescent="0.2">
      <c r="A62" s="4"/>
      <c r="B62" s="4"/>
      <c r="C62" s="25"/>
      <c r="D62" s="25"/>
      <c r="E62" s="25"/>
      <c r="F62" s="25"/>
      <c r="G62" s="25"/>
      <c r="H62" s="25"/>
      <c r="I62" s="25"/>
      <c r="J62" s="25"/>
      <c r="K62" s="4"/>
      <c r="L62" s="25"/>
      <c r="M62" s="25"/>
      <c r="N62" s="4"/>
      <c r="O62" s="4"/>
      <c r="P62" s="4"/>
    </row>
    <row r="63" spans="1:16" x14ac:dyDescent="0.2">
      <c r="A63" s="4"/>
      <c r="B63" s="4"/>
      <c r="C63" s="25"/>
      <c r="D63" s="25"/>
      <c r="E63" s="25"/>
      <c r="F63" s="25"/>
      <c r="G63" s="25"/>
      <c r="H63" s="25"/>
      <c r="I63" s="25"/>
      <c r="J63" s="25"/>
      <c r="K63" s="4"/>
      <c r="L63" s="25"/>
      <c r="M63" s="25"/>
      <c r="N63" s="4"/>
      <c r="O63" s="4"/>
      <c r="P63" s="4"/>
    </row>
    <row r="64" spans="1:16" x14ac:dyDescent="0.2">
      <c r="A64" s="4"/>
      <c r="B64" s="4"/>
      <c r="C64" s="25"/>
      <c r="D64" s="25"/>
      <c r="E64" s="25"/>
      <c r="F64" s="25"/>
      <c r="G64" s="25"/>
      <c r="H64" s="25"/>
      <c r="I64" s="25"/>
      <c r="J64" s="25"/>
      <c r="K64" s="4"/>
      <c r="L64" s="25"/>
      <c r="M64" s="25"/>
      <c r="N64" s="4"/>
      <c r="O64" s="4"/>
      <c r="P64" s="4"/>
    </row>
    <row r="65" spans="1:16" x14ac:dyDescent="0.2">
      <c r="A65" s="4"/>
      <c r="B65" s="4"/>
      <c r="C65" s="25"/>
      <c r="D65" s="25"/>
      <c r="E65" s="25"/>
      <c r="F65" s="25"/>
      <c r="G65" s="25"/>
      <c r="H65" s="25"/>
      <c r="I65" s="25"/>
      <c r="J65" s="25"/>
      <c r="K65" s="4"/>
      <c r="L65" s="25"/>
      <c r="M65" s="25"/>
      <c r="N65" s="4"/>
      <c r="O65" s="4"/>
      <c r="P65" s="4"/>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C119" s="121"/>
    </row>
    <row r="120" spans="1:16" x14ac:dyDescent="0.2">
      <c r="C120" s="121"/>
    </row>
    <row r="121" spans="1:16" x14ac:dyDescent="0.2">
      <c r="C121" s="121"/>
    </row>
    <row r="122" spans="1:16" x14ac:dyDescent="0.2">
      <c r="C122" s="121"/>
    </row>
    <row r="123" spans="1:16" x14ac:dyDescent="0.2">
      <c r="C123" s="121"/>
    </row>
    <row r="124" spans="1:16" x14ac:dyDescent="0.2">
      <c r="C124" s="121"/>
    </row>
    <row r="125" spans="1:16" x14ac:dyDescent="0.2">
      <c r="C125" s="121"/>
    </row>
    <row r="126" spans="1:16" x14ac:dyDescent="0.2">
      <c r="C126" s="121"/>
    </row>
    <row r="127" spans="1:16" x14ac:dyDescent="0.2">
      <c r="C127" s="121"/>
    </row>
    <row r="128" spans="1:16"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sheetData>
  <phoneticPr fontId="0" type="noConversion"/>
  <hyperlinks>
    <hyperlink ref="A1" location="'420 DPW'!A1" display="Main 440"/>
    <hyperlink ref="B1" location="'Table of Contents'!A1" display="TOC"/>
  </hyperlinks>
  <pageMargins left="0.75" right="0.75" top="1" bottom="1" header="0.5" footer="0.5"/>
  <pageSetup orientation="landscape" horizontalDpi="300" verticalDpi="300" r:id="rId1"/>
  <headerFooter alignWithMargins="0">
    <oddFooter>&amp;L&amp;D     &amp;T&amp;C&amp;F&amp;R&amp;A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8"/>
  <sheetViews>
    <sheetView zoomScale="85" workbookViewId="0">
      <pane ySplit="7" topLeftCell="A8" activePane="bottomLeft" state="frozen"/>
      <selection activeCell="K15" sqref="K15"/>
      <selection pane="bottomLeft" activeCell="L10" sqref="L10"/>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257</v>
      </c>
      <c r="B2" s="49"/>
      <c r="E2" s="153"/>
      <c r="H2" s="153" t="s">
        <v>252</v>
      </c>
      <c r="I2" s="153"/>
      <c r="J2" s="153"/>
      <c r="K2" s="67" t="s">
        <v>298</v>
      </c>
      <c r="M2" s="50" t="s">
        <v>490</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19"/>
      <c r="J8" s="20"/>
      <c r="K8" s="19"/>
      <c r="L8" s="20"/>
      <c r="M8" s="20"/>
    </row>
    <row r="9" spans="1:16" x14ac:dyDescent="0.2">
      <c r="A9" s="30">
        <v>5124</v>
      </c>
      <c r="B9" s="117" t="s">
        <v>47</v>
      </c>
      <c r="C9" s="142">
        <v>640</v>
      </c>
      <c r="D9" s="19">
        <v>305</v>
      </c>
      <c r="E9" s="19">
        <v>335</v>
      </c>
      <c r="F9" s="19">
        <v>135</v>
      </c>
      <c r="G9" s="19"/>
      <c r="H9" s="19">
        <v>0</v>
      </c>
      <c r="I9" s="136">
        <v>0</v>
      </c>
      <c r="J9" s="134">
        <v>2000</v>
      </c>
      <c r="K9" s="19"/>
      <c r="L9" s="134">
        <v>2000</v>
      </c>
      <c r="M9" s="134"/>
    </row>
    <row r="10" spans="1:16" x14ac:dyDescent="0.2">
      <c r="A10" s="12">
        <v>5132</v>
      </c>
      <c r="B10" s="69" t="s">
        <v>186</v>
      </c>
      <c r="C10" s="140">
        <v>40717.339999999997</v>
      </c>
      <c r="D10" s="14">
        <f>1377.54+63082.85</f>
        <v>64460.39</v>
      </c>
      <c r="E10" s="14">
        <v>82691.58</v>
      </c>
      <c r="F10" s="14">
        <v>22371.74</v>
      </c>
      <c r="G10" s="14">
        <v>68334</v>
      </c>
      <c r="H10" s="14">
        <v>70028.600000000006</v>
      </c>
      <c r="I10" s="156">
        <v>55481.56</v>
      </c>
      <c r="J10" s="132">
        <v>77000</v>
      </c>
      <c r="K10" s="14">
        <v>18971.41</v>
      </c>
      <c r="L10" s="132">
        <v>77000</v>
      </c>
      <c r="M10" s="132"/>
    </row>
    <row r="11" spans="1:16" ht="13.5" thickBot="1" x14ac:dyDescent="0.25">
      <c r="A11" s="12">
        <v>5142</v>
      </c>
      <c r="B11" s="69" t="s">
        <v>536</v>
      </c>
      <c r="C11" s="263">
        <v>12342.85</v>
      </c>
      <c r="D11" s="39">
        <v>12942.86</v>
      </c>
      <c r="E11" s="39">
        <v>12719.9</v>
      </c>
      <c r="F11" s="39">
        <v>8482.24</v>
      </c>
      <c r="G11" s="39">
        <v>14840</v>
      </c>
      <c r="H11" s="39">
        <v>14320</v>
      </c>
      <c r="I11" s="244">
        <v>14040</v>
      </c>
      <c r="J11" s="135">
        <f>2250+15000</f>
        <v>17250</v>
      </c>
      <c r="K11" s="39">
        <v>3480</v>
      </c>
      <c r="L11" s="135">
        <f>(170*11)*15</f>
        <v>28050</v>
      </c>
      <c r="M11" s="135"/>
    </row>
    <row r="12" spans="1:16" x14ac:dyDescent="0.2">
      <c r="A12" s="12"/>
      <c r="B12" s="70" t="s">
        <v>125</v>
      </c>
      <c r="C12" s="812">
        <f t="shared" ref="C12:M12" si="0">SUM(C9:C11)</f>
        <v>53700.189999999995</v>
      </c>
      <c r="D12" s="34">
        <f t="shared" si="0"/>
        <v>77708.25</v>
      </c>
      <c r="E12" s="34">
        <f t="shared" si="0"/>
        <v>95746.48</v>
      </c>
      <c r="F12" s="34">
        <f>SUM(F9:F11)</f>
        <v>30988.980000000003</v>
      </c>
      <c r="G12" s="34">
        <f>SUM(G9:G11)</f>
        <v>83174</v>
      </c>
      <c r="H12" s="34">
        <f>SUM(H9:H11)</f>
        <v>84348.6</v>
      </c>
      <c r="I12" s="353">
        <f>SUM(I9:I11)</f>
        <v>69521.56</v>
      </c>
      <c r="J12" s="324">
        <f>SUM(J9:J11)</f>
        <v>96250</v>
      </c>
      <c r="K12" s="34">
        <f t="shared" si="0"/>
        <v>22451.41</v>
      </c>
      <c r="L12" s="324">
        <f>SUM(L9:L11)</f>
        <v>107050</v>
      </c>
      <c r="M12" s="324">
        <f t="shared" si="0"/>
        <v>0</v>
      </c>
    </row>
    <row r="13" spans="1:16" x14ac:dyDescent="0.2">
      <c r="A13" s="12"/>
      <c r="B13" s="69"/>
      <c r="C13" s="140"/>
      <c r="D13" s="14"/>
      <c r="E13" s="14"/>
      <c r="F13" s="14"/>
      <c r="G13" s="14"/>
      <c r="H13" s="14"/>
      <c r="I13" s="156"/>
      <c r="J13" s="132"/>
      <c r="K13" s="14"/>
      <c r="L13" s="132"/>
      <c r="M13" s="132"/>
    </row>
    <row r="14" spans="1:16" x14ac:dyDescent="0.2">
      <c r="A14" s="12">
        <v>5350</v>
      </c>
      <c r="B14" s="69" t="s">
        <v>434</v>
      </c>
      <c r="C14" s="140"/>
      <c r="D14" s="14">
        <v>0</v>
      </c>
      <c r="E14" s="14"/>
      <c r="F14" s="14"/>
      <c r="G14" s="14"/>
      <c r="H14" s="14"/>
      <c r="I14" s="156">
        <v>0</v>
      </c>
      <c r="J14" s="132">
        <v>1000</v>
      </c>
      <c r="K14" s="14"/>
      <c r="L14" s="132">
        <v>1000</v>
      </c>
      <c r="M14" s="132"/>
    </row>
    <row r="15" spans="1:16" x14ac:dyDescent="0.2">
      <c r="A15" s="12">
        <v>5532</v>
      </c>
      <c r="B15" s="69" t="s">
        <v>207</v>
      </c>
      <c r="C15" s="140">
        <v>57995.07</v>
      </c>
      <c r="D15" s="19">
        <v>57239.44</v>
      </c>
      <c r="E15" s="19">
        <v>61212.41</v>
      </c>
      <c r="F15" s="19">
        <v>59100.23</v>
      </c>
      <c r="G15" s="19">
        <v>54605.77</v>
      </c>
      <c r="H15" s="19">
        <v>53550.54</v>
      </c>
      <c r="I15" s="136">
        <v>78251.64</v>
      </c>
      <c r="J15" s="134">
        <v>72000</v>
      </c>
      <c r="K15" s="14">
        <v>14261.35</v>
      </c>
      <c r="L15" s="134">
        <v>80000</v>
      </c>
      <c r="M15" s="134"/>
    </row>
    <row r="16" spans="1:16" x14ac:dyDescent="0.2">
      <c r="A16" s="12">
        <v>5533</v>
      </c>
      <c r="B16" s="69" t="s">
        <v>208</v>
      </c>
      <c r="C16" s="263">
        <v>36656.76</v>
      </c>
      <c r="D16" s="19">
        <v>60400.06</v>
      </c>
      <c r="E16" s="19">
        <v>52174.22</v>
      </c>
      <c r="F16" s="19">
        <v>21420.54</v>
      </c>
      <c r="G16" s="19">
        <v>39101.39</v>
      </c>
      <c r="H16" s="19">
        <v>49696.36</v>
      </c>
      <c r="I16" s="136">
        <v>37999.449999999997</v>
      </c>
      <c r="J16" s="134">
        <v>60000</v>
      </c>
      <c r="K16" s="39">
        <v>7693.08</v>
      </c>
      <c r="L16" s="134">
        <v>65000</v>
      </c>
      <c r="M16" s="134"/>
    </row>
    <row r="17" spans="1:16" ht="13.5" thickBot="1" x14ac:dyDescent="0.25">
      <c r="A17" s="12">
        <v>5590</v>
      </c>
      <c r="B17" s="69" t="s">
        <v>696</v>
      </c>
      <c r="C17" s="141">
        <v>12092.28</v>
      </c>
      <c r="D17" s="16">
        <v>14792.81</v>
      </c>
      <c r="E17" s="16">
        <v>10111.780000000001</v>
      </c>
      <c r="F17" s="16">
        <v>12249.29</v>
      </c>
      <c r="G17" s="16">
        <v>28447.74</v>
      </c>
      <c r="H17" s="16">
        <v>35002.49</v>
      </c>
      <c r="I17" s="349">
        <v>14368.52</v>
      </c>
      <c r="J17" s="133">
        <v>25000</v>
      </c>
      <c r="K17" s="16">
        <v>27122.37</v>
      </c>
      <c r="L17" s="133">
        <v>25000</v>
      </c>
      <c r="M17" s="133"/>
    </row>
    <row r="18" spans="1:16" x14ac:dyDescent="0.2">
      <c r="A18" s="12"/>
      <c r="B18" s="70" t="s">
        <v>442</v>
      </c>
      <c r="C18" s="142">
        <f t="shared" ref="C18:M18" si="1">SUM(C14:C17)</f>
        <v>106744.11</v>
      </c>
      <c r="D18" s="19">
        <f t="shared" si="1"/>
        <v>132432.31</v>
      </c>
      <c r="E18" s="19">
        <f t="shared" si="1"/>
        <v>123498.41</v>
      </c>
      <c r="F18" s="19">
        <f>SUM(F14:F17)</f>
        <v>92770.06</v>
      </c>
      <c r="G18" s="19">
        <f>SUM(G14:G17)</f>
        <v>122154.90000000001</v>
      </c>
      <c r="H18" s="19">
        <f>SUM(H14:H17)</f>
        <v>138249.38999999998</v>
      </c>
      <c r="I18" s="19">
        <f t="shared" si="1"/>
        <v>130619.61</v>
      </c>
      <c r="J18" s="262">
        <f>SUM(J14:J17)</f>
        <v>158000</v>
      </c>
      <c r="K18" s="19">
        <f t="shared" si="1"/>
        <v>49076.800000000003</v>
      </c>
      <c r="L18" s="262">
        <f>SUM(L14:L17)</f>
        <v>171000</v>
      </c>
      <c r="M18" s="262">
        <f t="shared" si="1"/>
        <v>0</v>
      </c>
    </row>
    <row r="19" spans="1:16" x14ac:dyDescent="0.2">
      <c r="A19" s="12"/>
      <c r="B19" s="13"/>
      <c r="C19" s="14"/>
      <c r="D19" s="14"/>
      <c r="E19" s="14"/>
      <c r="F19" s="14"/>
      <c r="G19" s="14"/>
      <c r="H19" s="14"/>
      <c r="I19" s="14"/>
      <c r="J19" s="132"/>
      <c r="K19" s="14"/>
      <c r="L19" s="132"/>
      <c r="M19" s="132"/>
    </row>
    <row r="20" spans="1:16" ht="13.5" thickBot="1" x14ac:dyDescent="0.25">
      <c r="A20" s="21"/>
      <c r="B20" s="22" t="s">
        <v>299</v>
      </c>
      <c r="C20" s="23">
        <f t="shared" ref="C20:L20" si="2">+C18+C12</f>
        <v>160444.29999999999</v>
      </c>
      <c r="D20" s="23">
        <f t="shared" si="2"/>
        <v>210140.56</v>
      </c>
      <c r="E20" s="23">
        <f t="shared" si="2"/>
        <v>219244.89</v>
      </c>
      <c r="F20" s="23">
        <f>+F18+F12</f>
        <v>123759.04000000001</v>
      </c>
      <c r="G20" s="23">
        <f>+G18+G12</f>
        <v>205328.90000000002</v>
      </c>
      <c r="H20" s="23">
        <f>+H18+H12</f>
        <v>222597.99</v>
      </c>
      <c r="I20" s="23">
        <f t="shared" si="2"/>
        <v>200141.16999999998</v>
      </c>
      <c r="J20" s="24">
        <f t="shared" ref="J20" si="3">+J18+J12</f>
        <v>254250</v>
      </c>
      <c r="K20" s="23">
        <f t="shared" si="2"/>
        <v>71528.210000000006</v>
      </c>
      <c r="L20" s="24">
        <f t="shared" si="2"/>
        <v>278050</v>
      </c>
      <c r="M20" s="24">
        <f>+L20</f>
        <v>278050</v>
      </c>
    </row>
    <row r="21" spans="1:16" ht="13.5" thickTop="1" x14ac:dyDescent="0.2">
      <c r="A21" s="4"/>
      <c r="B21" s="4"/>
      <c r="C21" s="25"/>
      <c r="D21" s="25"/>
      <c r="E21" s="25"/>
      <c r="F21" s="25"/>
      <c r="G21" s="25"/>
      <c r="H21" s="25"/>
      <c r="I21" s="25"/>
      <c r="J21" s="25"/>
      <c r="K21" s="29"/>
      <c r="L21" s="25"/>
      <c r="M21" s="25"/>
      <c r="N21" s="29"/>
      <c r="O21" s="29"/>
      <c r="P21" s="29"/>
    </row>
    <row r="22" spans="1:16" ht="13.5" thickBot="1" x14ac:dyDescent="0.25">
      <c r="A22" s="28"/>
      <c r="B22" s="28"/>
      <c r="C22" s="26"/>
      <c r="D22" s="25"/>
      <c r="E22" s="25"/>
      <c r="F22" s="25"/>
      <c r="G22" s="25"/>
      <c r="H22" s="25"/>
      <c r="I22" s="25"/>
      <c r="J22" s="25"/>
      <c r="K22" s="29"/>
      <c r="L22" s="25"/>
      <c r="M22" s="29"/>
      <c r="N22" s="29"/>
      <c r="O22" s="29"/>
      <c r="P22" s="29"/>
    </row>
    <row r="23" spans="1:16" ht="13.5" thickTop="1" x14ac:dyDescent="0.2">
      <c r="A23" s="517"/>
      <c r="B23" s="518"/>
      <c r="C23" s="519" t="s">
        <v>122</v>
      </c>
      <c r="D23" s="520" t="s">
        <v>122</v>
      </c>
      <c r="E23" s="520" t="s">
        <v>122</v>
      </c>
      <c r="H23" s="521" t="s">
        <v>542</v>
      </c>
      <c r="I23" s="522" t="s">
        <v>9</v>
      </c>
      <c r="J23" s="523" t="s">
        <v>1073</v>
      </c>
      <c r="K23" s="522" t="s">
        <v>682</v>
      </c>
      <c r="L23" s="524"/>
      <c r="M23" s="523"/>
      <c r="N23" s="29"/>
      <c r="O23" s="29"/>
      <c r="P23" s="29"/>
    </row>
    <row r="24" spans="1:16" ht="13.5" thickBot="1" x14ac:dyDescent="0.25">
      <c r="A24" s="525" t="s">
        <v>123</v>
      </c>
      <c r="B24" s="526"/>
      <c r="C24" s="527" t="s">
        <v>334</v>
      </c>
      <c r="D24" s="527" t="s">
        <v>718</v>
      </c>
      <c r="E24" s="528" t="s">
        <v>734</v>
      </c>
      <c r="H24" s="529" t="s">
        <v>899</v>
      </c>
      <c r="I24" s="529" t="s">
        <v>900</v>
      </c>
      <c r="J24" s="528" t="s">
        <v>1075</v>
      </c>
      <c r="K24" s="530" t="s">
        <v>1075</v>
      </c>
      <c r="L24" s="531" t="s">
        <v>1074</v>
      </c>
      <c r="M24" s="529"/>
      <c r="N24" s="29"/>
      <c r="O24" s="29"/>
      <c r="P24" s="29"/>
    </row>
    <row r="25" spans="1:16" ht="13.5" thickTop="1" x14ac:dyDescent="0.2">
      <c r="A25" s="548"/>
      <c r="B25" s="549"/>
      <c r="C25" s="536"/>
      <c r="D25" s="536"/>
      <c r="E25" s="536"/>
      <c r="H25" s="537"/>
      <c r="I25" s="536"/>
      <c r="J25" s="572"/>
      <c r="K25" s="545"/>
      <c r="L25" s="538"/>
      <c r="M25" s="539"/>
      <c r="N25" s="29"/>
      <c r="O25" s="29"/>
      <c r="P25" s="29"/>
    </row>
    <row r="26" spans="1:16" x14ac:dyDescent="0.2">
      <c r="A26" s="548">
        <v>5124</v>
      </c>
      <c r="B26" s="549" t="s">
        <v>47</v>
      </c>
      <c r="C26" s="536">
        <v>640</v>
      </c>
      <c r="D26" s="536">
        <v>305</v>
      </c>
      <c r="E26" s="536">
        <v>335</v>
      </c>
      <c r="H26" s="537">
        <f>+J9</f>
        <v>2000</v>
      </c>
      <c r="I26" s="568">
        <f>+L9</f>
        <v>2000</v>
      </c>
      <c r="J26" s="572">
        <f t="shared" ref="J26:J32" si="4">+I26-H26</f>
        <v>0</v>
      </c>
      <c r="K26" s="545" t="str">
        <f t="shared" ref="K26:K32" si="5">IF(H26+I26&lt;&gt;0,IF(H26&lt;&gt;0,IF(J26&lt;&gt;0,ROUND((+J26/H26),4),""),1),"")</f>
        <v/>
      </c>
      <c r="L26" s="538"/>
      <c r="M26" s="539"/>
      <c r="N26" s="29"/>
      <c r="O26" s="29"/>
      <c r="P26" s="29"/>
    </row>
    <row r="27" spans="1:16" x14ac:dyDescent="0.2">
      <c r="A27" s="551">
        <v>5132</v>
      </c>
      <c r="B27" s="540" t="s">
        <v>186</v>
      </c>
      <c r="C27" s="544">
        <v>40717.339999999997</v>
      </c>
      <c r="D27" s="544">
        <f>1377.54+63082.85</f>
        <v>64460.39</v>
      </c>
      <c r="E27" s="544">
        <v>82691.58</v>
      </c>
      <c r="H27" s="537">
        <f t="shared" ref="H27:H28" si="6">+J10</f>
        <v>77000</v>
      </c>
      <c r="I27" s="568">
        <f>+L10</f>
        <v>77000</v>
      </c>
      <c r="J27" s="572">
        <f t="shared" si="4"/>
        <v>0</v>
      </c>
      <c r="K27" s="545" t="str">
        <f t="shared" si="5"/>
        <v/>
      </c>
      <c r="L27" s="538"/>
      <c r="M27" s="539"/>
      <c r="N27" s="29"/>
      <c r="O27" s="29"/>
      <c r="P27" s="29"/>
    </row>
    <row r="28" spans="1:16" x14ac:dyDescent="0.2">
      <c r="A28" s="551">
        <v>5142</v>
      </c>
      <c r="B28" s="540" t="s">
        <v>536</v>
      </c>
      <c r="C28" s="546">
        <v>12342.85</v>
      </c>
      <c r="D28" s="546">
        <v>12942.86</v>
      </c>
      <c r="E28" s="546">
        <v>12719.9</v>
      </c>
      <c r="H28" s="537">
        <f t="shared" si="6"/>
        <v>17250</v>
      </c>
      <c r="I28" s="568">
        <f>+L11</f>
        <v>28050</v>
      </c>
      <c r="J28" s="572">
        <f t="shared" si="4"/>
        <v>10800</v>
      </c>
      <c r="K28" s="545">
        <f t="shared" si="5"/>
        <v>0.62609999999999999</v>
      </c>
      <c r="L28" s="538" t="s">
        <v>1103</v>
      </c>
      <c r="M28" s="539"/>
      <c r="N28" s="29"/>
      <c r="O28" s="29"/>
      <c r="P28" s="29"/>
    </row>
    <row r="29" spans="1:16" x14ac:dyDescent="0.2">
      <c r="A29" s="551">
        <v>5350</v>
      </c>
      <c r="B29" s="540" t="s">
        <v>434</v>
      </c>
      <c r="C29" s="544"/>
      <c r="D29" s="544">
        <v>0</v>
      </c>
      <c r="E29" s="544"/>
      <c r="H29" s="543">
        <f>+J14</f>
        <v>1000</v>
      </c>
      <c r="I29" s="568">
        <f>+L14</f>
        <v>1000</v>
      </c>
      <c r="J29" s="572">
        <f t="shared" si="4"/>
        <v>0</v>
      </c>
      <c r="K29" s="545" t="str">
        <f t="shared" si="5"/>
        <v/>
      </c>
      <c r="L29" s="538"/>
      <c r="M29" s="539"/>
      <c r="N29" s="29"/>
      <c r="O29" s="29"/>
      <c r="P29" s="29"/>
    </row>
    <row r="30" spans="1:16" x14ac:dyDescent="0.2">
      <c r="A30" s="551">
        <v>5532</v>
      </c>
      <c r="B30" s="540" t="s">
        <v>207</v>
      </c>
      <c r="C30" s="544">
        <v>57995.07</v>
      </c>
      <c r="D30" s="536">
        <v>57239.44</v>
      </c>
      <c r="E30" s="536">
        <v>61212.41</v>
      </c>
      <c r="H30" s="543">
        <f t="shared" ref="H30:H32" si="7">+J15</f>
        <v>72000</v>
      </c>
      <c r="I30" s="568">
        <f>+L15</f>
        <v>80000</v>
      </c>
      <c r="J30" s="572">
        <f t="shared" si="4"/>
        <v>8000</v>
      </c>
      <c r="K30" s="545">
        <f t="shared" si="5"/>
        <v>0.1111</v>
      </c>
      <c r="L30" s="538" t="s">
        <v>1562</v>
      </c>
      <c r="M30" s="539"/>
      <c r="N30" s="29"/>
      <c r="O30" s="29"/>
      <c r="P30" s="29"/>
    </row>
    <row r="31" spans="1:16" x14ac:dyDescent="0.2">
      <c r="A31" s="551">
        <v>5533</v>
      </c>
      <c r="B31" s="540" t="s">
        <v>208</v>
      </c>
      <c r="C31" s="546">
        <v>36656.76</v>
      </c>
      <c r="D31" s="536">
        <v>60400.06</v>
      </c>
      <c r="E31" s="536">
        <v>52174.22</v>
      </c>
      <c r="H31" s="543">
        <f t="shared" si="7"/>
        <v>60000</v>
      </c>
      <c r="I31" s="568">
        <f>+L16</f>
        <v>65000</v>
      </c>
      <c r="J31" s="572">
        <f t="shared" si="4"/>
        <v>5000</v>
      </c>
      <c r="K31" s="545">
        <f t="shared" si="5"/>
        <v>8.3299999999999999E-2</v>
      </c>
      <c r="L31" s="538" t="s">
        <v>1261</v>
      </c>
      <c r="M31" s="539"/>
      <c r="N31" s="29"/>
      <c r="O31" s="29"/>
      <c r="P31" s="29"/>
    </row>
    <row r="32" spans="1:16" ht="13.5" thickBot="1" x14ac:dyDescent="0.25">
      <c r="A32" s="551">
        <v>5590</v>
      </c>
      <c r="B32" s="540" t="s">
        <v>696</v>
      </c>
      <c r="C32" s="542">
        <v>12092.28</v>
      </c>
      <c r="D32" s="542">
        <v>14792.81</v>
      </c>
      <c r="E32" s="542">
        <v>10111.780000000001</v>
      </c>
      <c r="H32" s="543">
        <f t="shared" si="7"/>
        <v>25000</v>
      </c>
      <c r="I32" s="568">
        <f>+L17</f>
        <v>25000</v>
      </c>
      <c r="J32" s="572">
        <f t="shared" si="4"/>
        <v>0</v>
      </c>
      <c r="K32" s="545" t="str">
        <f t="shared" si="5"/>
        <v/>
      </c>
      <c r="L32" s="538" t="s">
        <v>1104</v>
      </c>
      <c r="M32" s="539"/>
      <c r="N32" s="29"/>
      <c r="O32" s="29"/>
      <c r="P32" s="29"/>
    </row>
    <row r="33" spans="1:16" x14ac:dyDescent="0.2">
      <c r="A33" s="4"/>
      <c r="B33" s="4"/>
      <c r="C33" s="25"/>
      <c r="D33" s="25"/>
      <c r="E33" s="25"/>
      <c r="F33" s="25"/>
      <c r="G33" s="25"/>
      <c r="H33" s="25"/>
      <c r="I33" s="25"/>
      <c r="J33" s="25"/>
      <c r="K33" s="29"/>
      <c r="L33" s="25"/>
      <c r="M33" s="25"/>
      <c r="N33" s="29"/>
      <c r="O33" s="29"/>
      <c r="P33" s="29"/>
    </row>
    <row r="34" spans="1:16" x14ac:dyDescent="0.2">
      <c r="A34" s="4"/>
      <c r="B34" s="4" t="s">
        <v>1600</v>
      </c>
      <c r="C34" s="25"/>
      <c r="D34" s="25"/>
      <c r="E34" s="25"/>
      <c r="F34" s="25"/>
      <c r="G34" s="25"/>
      <c r="H34" s="849">
        <f>SUM(H26:H33)</f>
        <v>254250</v>
      </c>
      <c r="I34" s="849">
        <f>SUM(I26:I33)</f>
        <v>278050</v>
      </c>
      <c r="J34" s="208">
        <f t="shared" ref="J34" si="8">+I34-H34</f>
        <v>23800</v>
      </c>
      <c r="K34" s="850">
        <f t="shared" ref="K34" si="9">IF(H34+I34&lt;&gt;0,IF(H34&lt;&gt;0,IF(J34&lt;&gt;0,ROUND((+J34/H34),4),""),1),"")</f>
        <v>9.3600000000000003E-2</v>
      </c>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9"/>
      <c r="L42" s="25"/>
      <c r="M42" s="25"/>
      <c r="N42" s="29"/>
      <c r="O42" s="29"/>
      <c r="P42" s="29"/>
    </row>
    <row r="43" spans="1:16" x14ac:dyDescent="0.2">
      <c r="A43" s="4"/>
      <c r="B43" s="4"/>
      <c r="C43" s="25"/>
      <c r="D43" s="25"/>
      <c r="E43" s="25"/>
      <c r="F43" s="25"/>
      <c r="G43" s="25"/>
      <c r="H43" s="25"/>
      <c r="I43" s="25"/>
      <c r="J43" s="25"/>
      <c r="K43" s="29"/>
      <c r="L43" s="25"/>
      <c r="M43" s="25"/>
      <c r="N43" s="29"/>
      <c r="O43" s="29"/>
      <c r="P43" s="29"/>
    </row>
    <row r="44" spans="1:16" x14ac:dyDescent="0.2">
      <c r="A44" s="4"/>
      <c r="B44" s="4"/>
      <c r="C44" s="25"/>
      <c r="D44" s="25"/>
      <c r="E44" s="25"/>
      <c r="F44" s="25"/>
      <c r="G44" s="25"/>
      <c r="H44" s="25"/>
      <c r="I44" s="25"/>
      <c r="J44" s="25"/>
      <c r="K44" s="29"/>
      <c r="L44" s="25"/>
      <c r="M44" s="25"/>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c r="C46" s="25"/>
      <c r="D46" s="25"/>
      <c r="E46" s="25"/>
      <c r="F46" s="25"/>
      <c r="G46" s="25"/>
      <c r="H46" s="25"/>
      <c r="I46" s="25"/>
      <c r="J46" s="25"/>
      <c r="K46" s="29"/>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29"/>
      <c r="L50" s="25"/>
      <c r="M50" s="25"/>
      <c r="N50" s="29"/>
      <c r="O50" s="29"/>
      <c r="P50" s="29"/>
    </row>
    <row r="51" spans="1:16" x14ac:dyDescent="0.2">
      <c r="A51" s="4"/>
      <c r="B51" s="4"/>
      <c r="C51" s="25"/>
      <c r="D51" s="25"/>
      <c r="E51" s="25"/>
      <c r="F51" s="25"/>
      <c r="G51" s="25"/>
      <c r="H51" s="25"/>
      <c r="I51" s="25"/>
      <c r="J51" s="25"/>
      <c r="K51" s="29"/>
      <c r="L51" s="25"/>
      <c r="M51" s="25"/>
      <c r="N51" s="29"/>
      <c r="O51" s="29"/>
      <c r="P51" s="29"/>
    </row>
    <row r="52" spans="1:16" x14ac:dyDescent="0.2">
      <c r="A52" s="4"/>
      <c r="B52" s="4"/>
      <c r="C52" s="25"/>
      <c r="D52" s="25"/>
      <c r="E52" s="25"/>
      <c r="F52" s="25"/>
      <c r="G52" s="25"/>
      <c r="H52" s="25"/>
      <c r="I52" s="25"/>
      <c r="J52" s="25"/>
      <c r="K52" s="29"/>
      <c r="L52" s="25"/>
      <c r="M52" s="25"/>
      <c r="N52" s="29"/>
      <c r="O52" s="29"/>
      <c r="P52" s="29"/>
    </row>
    <row r="53" spans="1:16" x14ac:dyDescent="0.2">
      <c r="A53" s="4"/>
      <c r="B53" s="4"/>
      <c r="C53" s="25"/>
      <c r="D53" s="25"/>
      <c r="E53" s="25"/>
      <c r="F53" s="25"/>
      <c r="G53" s="25"/>
      <c r="H53" s="25"/>
      <c r="I53" s="25"/>
      <c r="J53" s="25"/>
      <c r="K53" s="29"/>
      <c r="L53" s="25"/>
      <c r="M53" s="25"/>
      <c r="N53" s="29"/>
      <c r="O53" s="29"/>
      <c r="P53" s="29"/>
    </row>
    <row r="54" spans="1:16" x14ac:dyDescent="0.2">
      <c r="A54" s="4"/>
      <c r="B54" s="4"/>
      <c r="C54" s="25"/>
      <c r="D54" s="25"/>
      <c r="E54" s="25"/>
      <c r="F54" s="25"/>
      <c r="G54" s="25"/>
      <c r="H54" s="25"/>
      <c r="I54" s="25"/>
      <c r="J54" s="25"/>
      <c r="K54" s="29"/>
      <c r="L54" s="25"/>
      <c r="M54" s="25"/>
      <c r="N54" s="29"/>
      <c r="O54" s="29"/>
      <c r="P54" s="29"/>
    </row>
    <row r="55" spans="1:16" x14ac:dyDescent="0.2">
      <c r="A55" s="4"/>
      <c r="B55" s="4"/>
      <c r="C55" s="25"/>
      <c r="D55" s="25"/>
      <c r="E55" s="25"/>
      <c r="F55" s="25"/>
      <c r="G55" s="25"/>
      <c r="H55" s="25"/>
      <c r="I55" s="25"/>
      <c r="J55" s="25"/>
      <c r="K55" s="29"/>
      <c r="L55" s="25"/>
      <c r="M55" s="25"/>
      <c r="N55" s="29"/>
      <c r="O55" s="29"/>
      <c r="P55" s="29"/>
    </row>
    <row r="56" spans="1:16" x14ac:dyDescent="0.2">
      <c r="A56" s="4"/>
      <c r="B56" s="4"/>
      <c r="C56" s="25"/>
      <c r="D56" s="25"/>
      <c r="E56" s="25"/>
      <c r="F56" s="25"/>
      <c r="G56" s="25"/>
      <c r="H56" s="25"/>
      <c r="I56" s="25"/>
      <c r="J56" s="25"/>
      <c r="K56" s="29"/>
      <c r="L56" s="25"/>
      <c r="M56" s="25"/>
      <c r="N56" s="29"/>
      <c r="O56" s="29"/>
      <c r="P56" s="29"/>
    </row>
    <row r="57" spans="1:16" x14ac:dyDescent="0.2">
      <c r="A57" s="4"/>
      <c r="B57" s="4"/>
      <c r="C57" s="25"/>
      <c r="D57" s="25"/>
      <c r="E57" s="25"/>
      <c r="F57" s="25"/>
      <c r="G57" s="25"/>
      <c r="H57" s="25"/>
      <c r="I57" s="25"/>
      <c r="J57" s="25"/>
      <c r="K57" s="29"/>
      <c r="L57" s="25"/>
      <c r="M57" s="25"/>
      <c r="N57" s="29"/>
      <c r="O57" s="29"/>
      <c r="P57" s="29"/>
    </row>
    <row r="58" spans="1:16" x14ac:dyDescent="0.2">
      <c r="A58" s="4"/>
      <c r="B58" s="4"/>
      <c r="C58" s="25"/>
      <c r="D58" s="25"/>
      <c r="E58" s="25"/>
      <c r="F58" s="25"/>
      <c r="G58" s="25"/>
      <c r="H58" s="25"/>
      <c r="I58" s="25"/>
      <c r="J58" s="25"/>
      <c r="K58" s="4"/>
      <c r="L58" s="25"/>
      <c r="M58" s="25"/>
      <c r="N58" s="4"/>
      <c r="O58" s="4"/>
      <c r="P58" s="4"/>
    </row>
    <row r="59" spans="1:16" x14ac:dyDescent="0.2">
      <c r="A59" s="4"/>
      <c r="B59" s="4"/>
      <c r="C59" s="25"/>
      <c r="D59" s="25"/>
      <c r="E59" s="25"/>
      <c r="F59" s="25"/>
      <c r="G59" s="25"/>
      <c r="H59" s="25"/>
      <c r="I59" s="25"/>
      <c r="J59" s="25"/>
      <c r="K59" s="4"/>
      <c r="L59" s="25"/>
      <c r="M59" s="25"/>
      <c r="N59" s="4"/>
      <c r="O59" s="4"/>
      <c r="P59" s="4"/>
    </row>
    <row r="60" spans="1:16" x14ac:dyDescent="0.2">
      <c r="A60" s="4"/>
      <c r="B60" s="4"/>
      <c r="C60" s="25"/>
      <c r="D60" s="25"/>
      <c r="E60" s="25"/>
      <c r="F60" s="25"/>
      <c r="G60" s="25"/>
      <c r="H60" s="25"/>
      <c r="I60" s="25"/>
      <c r="J60" s="25"/>
      <c r="K60" s="4"/>
      <c r="L60" s="25"/>
      <c r="M60" s="25"/>
      <c r="N60" s="4"/>
      <c r="O60" s="4"/>
      <c r="P60" s="4"/>
    </row>
    <row r="61" spans="1:16" x14ac:dyDescent="0.2">
      <c r="A61" s="4"/>
      <c r="B61" s="4"/>
      <c r="C61" s="25"/>
      <c r="D61" s="25"/>
      <c r="E61" s="25"/>
      <c r="F61" s="25"/>
      <c r="G61" s="25"/>
      <c r="H61" s="25"/>
      <c r="I61" s="25"/>
      <c r="J61" s="25"/>
      <c r="K61" s="4"/>
      <c r="L61" s="25"/>
      <c r="M61" s="25"/>
      <c r="N61" s="4"/>
      <c r="O61" s="4"/>
      <c r="P61" s="4"/>
    </row>
    <row r="62" spans="1:16" x14ac:dyDescent="0.2">
      <c r="A62" s="4"/>
      <c r="B62" s="4"/>
      <c r="C62" s="25"/>
      <c r="D62" s="25"/>
      <c r="E62" s="25"/>
      <c r="F62" s="25"/>
      <c r="G62" s="25"/>
      <c r="H62" s="25"/>
      <c r="I62" s="25"/>
      <c r="J62" s="25"/>
      <c r="K62" s="4"/>
      <c r="L62" s="25"/>
      <c r="M62" s="25"/>
      <c r="N62" s="4"/>
      <c r="O62" s="4"/>
      <c r="P62" s="4"/>
    </row>
    <row r="63" spans="1:16" x14ac:dyDescent="0.2">
      <c r="A63" s="4"/>
      <c r="B63" s="4"/>
      <c r="C63" s="25"/>
      <c r="D63" s="25"/>
      <c r="E63" s="25"/>
      <c r="F63" s="25"/>
      <c r="G63" s="25"/>
      <c r="H63" s="25"/>
      <c r="I63" s="25"/>
      <c r="J63" s="25"/>
      <c r="K63" s="4"/>
      <c r="L63" s="25"/>
      <c r="M63" s="25"/>
      <c r="N63" s="4"/>
      <c r="O63" s="4"/>
      <c r="P63" s="4"/>
    </row>
    <row r="64" spans="1:16" x14ac:dyDescent="0.2">
      <c r="A64" s="4"/>
      <c r="B64" s="4"/>
      <c r="C64" s="25"/>
      <c r="D64" s="25"/>
      <c r="E64" s="25"/>
      <c r="F64" s="25"/>
      <c r="G64" s="25"/>
      <c r="H64" s="25"/>
      <c r="I64" s="25"/>
      <c r="J64" s="25"/>
      <c r="K64" s="4"/>
      <c r="L64" s="25"/>
      <c r="M64" s="25"/>
      <c r="N64" s="4"/>
      <c r="O64" s="4"/>
      <c r="P64" s="4"/>
    </row>
    <row r="65" spans="1:16" x14ac:dyDescent="0.2">
      <c r="A65" s="4"/>
      <c r="B65" s="4"/>
      <c r="C65" s="25"/>
      <c r="D65" s="25"/>
      <c r="E65" s="25"/>
      <c r="F65" s="25"/>
      <c r="G65" s="25"/>
      <c r="H65" s="25"/>
      <c r="I65" s="25"/>
      <c r="J65" s="25"/>
      <c r="K65" s="4"/>
      <c r="L65" s="25"/>
      <c r="M65" s="25"/>
      <c r="N65" s="4"/>
      <c r="O65" s="4"/>
      <c r="P65" s="4"/>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A123" s="4"/>
      <c r="B123" s="4"/>
      <c r="C123" s="25"/>
      <c r="D123" s="25"/>
      <c r="E123" s="25"/>
      <c r="F123" s="25"/>
      <c r="G123" s="25"/>
      <c r="H123" s="25"/>
      <c r="I123" s="25"/>
      <c r="J123" s="25"/>
      <c r="K123" s="4"/>
      <c r="L123" s="25"/>
      <c r="M123" s="25"/>
      <c r="N123" s="4"/>
      <c r="O123" s="4"/>
      <c r="P123" s="4"/>
    </row>
    <row r="124" spans="1:16" x14ac:dyDescent="0.2">
      <c r="C124" s="121"/>
    </row>
    <row r="125" spans="1:16" x14ac:dyDescent="0.2">
      <c r="C125" s="121"/>
    </row>
    <row r="126" spans="1:16" x14ac:dyDescent="0.2">
      <c r="C126" s="121"/>
    </row>
    <row r="127" spans="1:16" x14ac:dyDescent="0.2">
      <c r="C127" s="121"/>
    </row>
    <row r="128" spans="1:16"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row r="178" spans="3:3" x14ac:dyDescent="0.2">
      <c r="C178"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horizontalDpi="300" verticalDpi="300" r:id="rId1"/>
  <headerFooter alignWithMargins="0">
    <oddFooter>&amp;L&amp;D     &amp;T&amp;C&amp;F&amp;R&amp;A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5"/>
  <sheetViews>
    <sheetView zoomScale="85" zoomScaleNormal="85" workbookViewId="0">
      <pane ySplit="7" topLeftCell="A8" activePane="bottomLeft" state="frozen"/>
      <selection activeCell="K15" sqref="K15"/>
      <selection pane="bottomLeft" activeCell="L9" sqref="L9"/>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7" x14ac:dyDescent="0.2">
      <c r="A1" s="410" t="s">
        <v>1013</v>
      </c>
      <c r="B1" s="410" t="s">
        <v>1418</v>
      </c>
      <c r="M1"/>
    </row>
    <row r="2" spans="1:17" ht="15" x14ac:dyDescent="0.25">
      <c r="A2" s="49" t="s">
        <v>257</v>
      </c>
      <c r="B2" s="49"/>
      <c r="E2" s="153"/>
      <c r="H2" s="153" t="s">
        <v>252</v>
      </c>
      <c r="I2" s="153"/>
      <c r="J2" s="153"/>
      <c r="K2" s="67" t="s">
        <v>440</v>
      </c>
      <c r="M2" s="50" t="s">
        <v>491</v>
      </c>
      <c r="P2" s="101"/>
    </row>
    <row r="3" spans="1:17" ht="13.5" thickBot="1" x14ac:dyDescent="0.25">
      <c r="A3" s="4"/>
      <c r="B3" s="4"/>
      <c r="C3" s="25"/>
      <c r="D3" s="25"/>
      <c r="E3" s="25"/>
      <c r="F3" s="25"/>
      <c r="G3" s="25"/>
      <c r="H3" s="25"/>
      <c r="I3" s="25"/>
      <c r="J3" s="25"/>
      <c r="K3" s="4"/>
      <c r="L3" s="25"/>
      <c r="M3" s="4"/>
      <c r="P3" s="225"/>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318"/>
      <c r="J5" s="318"/>
      <c r="K5" s="120" t="s">
        <v>509</v>
      </c>
      <c r="L5" s="95" t="s">
        <v>7</v>
      </c>
      <c r="M5" s="209" t="s">
        <v>783</v>
      </c>
      <c r="Q5" s="59"/>
    </row>
    <row r="6" spans="1:17" x14ac:dyDescent="0.2">
      <c r="A6" s="93"/>
      <c r="B6" s="216"/>
      <c r="C6" s="137"/>
      <c r="D6" s="137"/>
      <c r="E6" s="137"/>
      <c r="F6" s="137"/>
      <c r="G6" s="137"/>
      <c r="H6" s="137"/>
      <c r="I6" s="95"/>
      <c r="J6" s="95"/>
      <c r="K6" s="137"/>
      <c r="L6" s="95" t="s">
        <v>8</v>
      </c>
      <c r="M6" s="51" t="s">
        <v>537</v>
      </c>
      <c r="Q6" s="59"/>
    </row>
    <row r="7" spans="1:17" ht="13.5" thickBot="1" x14ac:dyDescent="0.25">
      <c r="A7" s="8"/>
      <c r="B7" s="89"/>
      <c r="C7" s="337" t="s">
        <v>334</v>
      </c>
      <c r="D7" s="337" t="s">
        <v>718</v>
      </c>
      <c r="E7" s="9" t="s">
        <v>734</v>
      </c>
      <c r="F7" s="9" t="s">
        <v>791</v>
      </c>
      <c r="G7" s="9" t="s">
        <v>881</v>
      </c>
      <c r="H7" s="9" t="s">
        <v>1010</v>
      </c>
      <c r="I7" s="9" t="s">
        <v>1072</v>
      </c>
      <c r="J7" s="9" t="s">
        <v>899</v>
      </c>
      <c r="K7" s="145">
        <v>43830</v>
      </c>
      <c r="L7" s="9" t="s">
        <v>9</v>
      </c>
      <c r="M7" s="9" t="s">
        <v>541</v>
      </c>
    </row>
    <row r="8" spans="1:17" ht="13.5" thickTop="1" x14ac:dyDescent="0.2">
      <c r="A8" s="30"/>
      <c r="B8" s="218"/>
      <c r="C8" s="142"/>
      <c r="D8" s="19"/>
      <c r="E8" s="19"/>
      <c r="F8" s="19"/>
      <c r="G8" s="19"/>
      <c r="H8" s="19"/>
      <c r="I8" s="19"/>
      <c r="J8" s="20"/>
      <c r="K8" s="19"/>
      <c r="L8" s="20"/>
      <c r="M8" s="20"/>
      <c r="P8" s="101"/>
    </row>
    <row r="9" spans="1:17" x14ac:dyDescent="0.2">
      <c r="A9" s="12">
        <v>5112</v>
      </c>
      <c r="B9" s="69" t="s">
        <v>154</v>
      </c>
      <c r="C9" s="140">
        <v>16950</v>
      </c>
      <c r="D9" s="14">
        <v>16247.6</v>
      </c>
      <c r="E9" s="14">
        <v>17402</v>
      </c>
      <c r="F9" s="14">
        <v>17716.599999999999</v>
      </c>
      <c r="G9" s="14">
        <v>7797</v>
      </c>
      <c r="H9" s="14">
        <v>268.99</v>
      </c>
      <c r="I9" s="14">
        <v>382.2</v>
      </c>
      <c r="J9" s="132"/>
      <c r="K9" s="14"/>
      <c r="L9" s="132">
        <v>500</v>
      </c>
      <c r="M9" s="132"/>
      <c r="P9" s="101"/>
    </row>
    <row r="10" spans="1:17" x14ac:dyDescent="0.2">
      <c r="A10" s="12">
        <v>5114</v>
      </c>
      <c r="B10" s="69" t="s">
        <v>155</v>
      </c>
      <c r="C10" s="140"/>
      <c r="D10" s="14"/>
      <c r="E10" s="14"/>
      <c r="F10" s="14"/>
      <c r="G10" s="14">
        <v>4961.8500000000004</v>
      </c>
      <c r="H10" s="14">
        <v>9840.9500000000007</v>
      </c>
      <c r="I10" s="14">
        <v>10335.69</v>
      </c>
      <c r="J10" s="132">
        <f>171+11612</f>
        <v>11783</v>
      </c>
      <c r="K10" s="14">
        <v>5204.67</v>
      </c>
      <c r="L10" s="132">
        <f>ROUND((+'420 DPW'!K80),0)</f>
        <v>12236</v>
      </c>
      <c r="M10" s="132"/>
      <c r="P10" s="101"/>
    </row>
    <row r="11" spans="1:17" x14ac:dyDescent="0.2">
      <c r="A11" s="12">
        <v>5132</v>
      </c>
      <c r="B11" s="69" t="s">
        <v>186</v>
      </c>
      <c r="C11" s="140">
        <v>271.2</v>
      </c>
      <c r="D11" s="14">
        <f>27.6+241.65</f>
        <v>269.25</v>
      </c>
      <c r="E11" s="14"/>
      <c r="F11" s="14">
        <v>410.68</v>
      </c>
      <c r="G11" s="14">
        <v>146.85</v>
      </c>
      <c r="H11" s="14">
        <v>518.64</v>
      </c>
      <c r="I11" s="14">
        <v>881.94</v>
      </c>
      <c r="J11" s="15">
        <v>500</v>
      </c>
      <c r="K11" s="14">
        <v>143.69999999999999</v>
      </c>
      <c r="L11" s="15">
        <v>750</v>
      </c>
      <c r="M11" s="132"/>
      <c r="P11" s="101"/>
    </row>
    <row r="12" spans="1:17" ht="13.5" thickBot="1" x14ac:dyDescent="0.25">
      <c r="A12" s="12">
        <v>5142</v>
      </c>
      <c r="B12" s="69" t="s">
        <v>159</v>
      </c>
      <c r="C12" s="141"/>
      <c r="D12" s="16"/>
      <c r="E12" s="16"/>
      <c r="F12" s="16"/>
      <c r="G12" s="16"/>
      <c r="H12" s="16"/>
      <c r="I12" s="16"/>
      <c r="J12" s="17"/>
      <c r="K12" s="16"/>
      <c r="L12" s="17"/>
      <c r="M12" s="133"/>
      <c r="P12" s="101"/>
    </row>
    <row r="13" spans="1:17" x14ac:dyDescent="0.2">
      <c r="A13" s="12"/>
      <c r="B13" s="70" t="s">
        <v>125</v>
      </c>
      <c r="C13" s="142">
        <f t="shared" ref="C13:M13" si="0">SUM(C9:C12)</f>
        <v>17221.2</v>
      </c>
      <c r="D13" s="19">
        <f t="shared" si="0"/>
        <v>16516.849999999999</v>
      </c>
      <c r="E13" s="19">
        <f t="shared" si="0"/>
        <v>17402</v>
      </c>
      <c r="F13" s="19">
        <f>SUM(F9:F12)</f>
        <v>18127.28</v>
      </c>
      <c r="G13" s="19">
        <f>SUM(G9:G12)</f>
        <v>12905.7</v>
      </c>
      <c r="H13" s="19">
        <f>SUM(H9:H12)</f>
        <v>10628.58</v>
      </c>
      <c r="I13" s="19">
        <f t="shared" si="0"/>
        <v>11599.830000000002</v>
      </c>
      <c r="J13" s="20">
        <f>SUM(J9:J12)</f>
        <v>12283</v>
      </c>
      <c r="K13" s="19">
        <f t="shared" si="0"/>
        <v>5348.37</v>
      </c>
      <c r="L13" s="20">
        <f>SUM(L9:L12)</f>
        <v>13486</v>
      </c>
      <c r="M13" s="134">
        <f t="shared" si="0"/>
        <v>0</v>
      </c>
      <c r="P13" s="101"/>
    </row>
    <row r="14" spans="1:17" x14ac:dyDescent="0.2">
      <c r="A14" s="12"/>
      <c r="B14" s="69"/>
      <c r="C14" s="140"/>
      <c r="D14" s="14"/>
      <c r="E14" s="14"/>
      <c r="F14" s="14"/>
      <c r="G14" s="14"/>
      <c r="H14" s="14"/>
      <c r="I14" s="14"/>
      <c r="J14" s="15"/>
      <c r="K14" s="14"/>
      <c r="L14" s="15"/>
      <c r="M14" s="132"/>
      <c r="P14" s="101"/>
    </row>
    <row r="15" spans="1:17" x14ac:dyDescent="0.2">
      <c r="A15" s="12">
        <v>5280</v>
      </c>
      <c r="B15" s="69" t="s">
        <v>210</v>
      </c>
      <c r="C15" s="140">
        <v>279469.99</v>
      </c>
      <c r="D15" s="19">
        <v>283691.19</v>
      </c>
      <c r="E15" s="19">
        <v>236050.71</v>
      </c>
      <c r="F15" s="19">
        <v>268195.77</v>
      </c>
      <c r="G15" s="19">
        <v>267920.34999999998</v>
      </c>
      <c r="H15" s="19">
        <v>282465.24</v>
      </c>
      <c r="I15" s="136">
        <v>287843.42</v>
      </c>
      <c r="J15" s="134">
        <v>219400</v>
      </c>
      <c r="K15" s="14">
        <v>90942.65</v>
      </c>
      <c r="L15" s="134">
        <v>228200</v>
      </c>
      <c r="M15" s="134"/>
      <c r="P15" s="208"/>
      <c r="Q15" s="149"/>
    </row>
    <row r="16" spans="1:17" x14ac:dyDescent="0.2">
      <c r="A16" s="12">
        <v>5281</v>
      </c>
      <c r="B16" s="69" t="s">
        <v>211</v>
      </c>
      <c r="C16" s="140">
        <v>90976.54</v>
      </c>
      <c r="D16" s="19">
        <v>91840.23</v>
      </c>
      <c r="E16" s="19">
        <v>107166.88</v>
      </c>
      <c r="F16" s="19">
        <v>94196.47</v>
      </c>
      <c r="G16" s="19">
        <v>100475.88</v>
      </c>
      <c r="H16" s="19">
        <v>101142.96</v>
      </c>
      <c r="I16" s="136">
        <v>109404.98</v>
      </c>
      <c r="J16" s="134">
        <v>120000</v>
      </c>
      <c r="K16" s="14">
        <v>46531.66</v>
      </c>
      <c r="L16" s="134">
        <v>177000</v>
      </c>
      <c r="M16" s="134"/>
      <c r="P16" s="208"/>
      <c r="Q16" s="149"/>
    </row>
    <row r="17" spans="1:17" x14ac:dyDescent="0.2">
      <c r="A17" s="12">
        <v>5282</v>
      </c>
      <c r="B17" s="69" t="s">
        <v>30</v>
      </c>
      <c r="C17" s="140">
        <v>18401.03</v>
      </c>
      <c r="D17" s="19">
        <v>19114.689999999999</v>
      </c>
      <c r="E17" s="19">
        <v>26908.31</v>
      </c>
      <c r="F17" s="19">
        <v>22310.400000000001</v>
      </c>
      <c r="G17" s="19">
        <v>17300.37</v>
      </c>
      <c r="H17" s="19">
        <v>21473</v>
      </c>
      <c r="I17" s="136">
        <v>30257.25</v>
      </c>
      <c r="J17" s="134">
        <v>27300</v>
      </c>
      <c r="K17" s="14">
        <v>14597.57</v>
      </c>
      <c r="L17" s="134">
        <v>32700</v>
      </c>
      <c r="M17" s="134"/>
      <c r="P17" s="208"/>
      <c r="Q17" s="149"/>
    </row>
    <row r="18" spans="1:17" x14ac:dyDescent="0.2">
      <c r="A18" s="12">
        <v>5283</v>
      </c>
      <c r="B18" s="69" t="s">
        <v>508</v>
      </c>
      <c r="C18" s="140">
        <v>3302.24</v>
      </c>
      <c r="D18" s="19">
        <v>2617.9699999999998</v>
      </c>
      <c r="E18" s="19">
        <v>3665.4</v>
      </c>
      <c r="F18" s="19">
        <v>4660.2299999999996</v>
      </c>
      <c r="G18" s="19">
        <v>4331.24</v>
      </c>
      <c r="H18" s="19">
        <v>4549.66</v>
      </c>
      <c r="I18" s="136">
        <v>4531.5200000000004</v>
      </c>
      <c r="J18" s="134">
        <v>5500</v>
      </c>
      <c r="K18" s="14">
        <v>4313.6000000000004</v>
      </c>
      <c r="L18" s="134">
        <v>5500</v>
      </c>
      <c r="M18" s="134"/>
      <c r="P18" s="2"/>
    </row>
    <row r="19" spans="1:17" x14ac:dyDescent="0.2">
      <c r="A19" s="12">
        <v>5284</v>
      </c>
      <c r="B19" s="13" t="s">
        <v>91</v>
      </c>
      <c r="C19" s="14">
        <v>12531.6</v>
      </c>
      <c r="D19" s="19">
        <v>12690.59</v>
      </c>
      <c r="E19" s="19">
        <v>12756.08</v>
      </c>
      <c r="F19" s="19">
        <v>12699.72</v>
      </c>
      <c r="G19" s="19">
        <v>13099.3</v>
      </c>
      <c r="H19" s="19">
        <v>13526.98</v>
      </c>
      <c r="I19" s="136">
        <v>13542.32</v>
      </c>
      <c r="J19" s="134">
        <v>14500</v>
      </c>
      <c r="K19" s="14">
        <v>5893.59</v>
      </c>
      <c r="L19" s="134">
        <v>18000</v>
      </c>
      <c r="M19" s="134"/>
    </row>
    <row r="20" spans="1:17" x14ac:dyDescent="0.2">
      <c r="A20" s="12">
        <v>5285</v>
      </c>
      <c r="B20" s="13" t="s">
        <v>1262</v>
      </c>
      <c r="C20" s="39"/>
      <c r="D20" s="32"/>
      <c r="E20" s="32"/>
      <c r="F20" s="19"/>
      <c r="G20" s="19"/>
      <c r="H20" s="19"/>
      <c r="I20" s="136"/>
      <c r="J20" s="134">
        <v>110500</v>
      </c>
      <c r="K20" s="14">
        <v>45277.8</v>
      </c>
      <c r="L20" s="134">
        <v>115000</v>
      </c>
      <c r="M20" s="134"/>
    </row>
    <row r="21" spans="1:17" x14ac:dyDescent="0.2">
      <c r="A21" s="12">
        <v>5315</v>
      </c>
      <c r="B21" s="13" t="s">
        <v>962</v>
      </c>
      <c r="C21" s="39"/>
      <c r="D21" s="32"/>
      <c r="E21" s="32"/>
      <c r="F21" s="14">
        <v>6910.1</v>
      </c>
      <c r="G21" s="14">
        <v>195</v>
      </c>
      <c r="H21" s="14">
        <v>400</v>
      </c>
      <c r="I21" s="156">
        <v>150</v>
      </c>
      <c r="J21" s="132">
        <v>3000</v>
      </c>
      <c r="K21" s="14">
        <v>150</v>
      </c>
      <c r="L21" s="132">
        <v>1500</v>
      </c>
      <c r="M21" s="132"/>
    </row>
    <row r="22" spans="1:17" x14ac:dyDescent="0.2">
      <c r="A22" s="12">
        <v>5380</v>
      </c>
      <c r="B22" s="13" t="s">
        <v>1063</v>
      </c>
      <c r="C22" s="39"/>
      <c r="D22" s="32"/>
      <c r="E22" s="32"/>
      <c r="F22" s="32"/>
      <c r="G22" s="32">
        <v>1116.5</v>
      </c>
      <c r="H22" s="32">
        <v>159.94999999999999</v>
      </c>
      <c r="I22" s="351"/>
      <c r="J22" s="154"/>
      <c r="K22" s="32"/>
      <c r="L22" s="154"/>
      <c r="M22" s="154"/>
    </row>
    <row r="23" spans="1:17" ht="13.5" thickBot="1" x14ac:dyDescent="0.25">
      <c r="A23" s="12">
        <v>5420</v>
      </c>
      <c r="B23" s="13" t="s">
        <v>139</v>
      </c>
      <c r="C23" s="16">
        <v>7536.34</v>
      </c>
      <c r="D23" s="16">
        <v>4635.58</v>
      </c>
      <c r="E23" s="16">
        <v>4881.71</v>
      </c>
      <c r="F23" s="16">
        <v>5984.95</v>
      </c>
      <c r="G23" s="16">
        <v>6735.54</v>
      </c>
      <c r="H23" s="16">
        <v>6956.43</v>
      </c>
      <c r="I23" s="349">
        <v>818.2</v>
      </c>
      <c r="J23" s="133">
        <v>7500</v>
      </c>
      <c r="K23" s="16">
        <v>6881.06</v>
      </c>
      <c r="L23" s="133">
        <v>7500</v>
      </c>
      <c r="M23" s="133"/>
    </row>
    <row r="24" spans="1:17" x14ac:dyDescent="0.2">
      <c r="A24" s="12"/>
      <c r="B24" s="18" t="s">
        <v>442</v>
      </c>
      <c r="C24" s="19">
        <f t="shared" ref="C24:M24" si="1">SUM(C15:C23)</f>
        <v>412217.73999999993</v>
      </c>
      <c r="D24" s="19">
        <f t="shared" si="1"/>
        <v>414590.25</v>
      </c>
      <c r="E24" s="19">
        <f t="shared" si="1"/>
        <v>391429.09</v>
      </c>
      <c r="F24" s="19">
        <f t="shared" si="1"/>
        <v>414957.63999999996</v>
      </c>
      <c r="G24" s="19">
        <f t="shared" si="1"/>
        <v>411174.17999999993</v>
      </c>
      <c r="H24" s="19">
        <f t="shared" si="1"/>
        <v>430674.22</v>
      </c>
      <c r="I24" s="19">
        <f t="shared" si="1"/>
        <v>446547.69</v>
      </c>
      <c r="J24" s="134">
        <f t="shared" si="1"/>
        <v>507700</v>
      </c>
      <c r="K24" s="19">
        <f t="shared" si="1"/>
        <v>214587.93</v>
      </c>
      <c r="L24" s="134">
        <f t="shared" si="1"/>
        <v>585400</v>
      </c>
      <c r="M24" s="134">
        <f t="shared" si="1"/>
        <v>0</v>
      </c>
    </row>
    <row r="25" spans="1:17" x14ac:dyDescent="0.2">
      <c r="A25" s="12"/>
      <c r="B25" s="18"/>
      <c r="C25" s="14"/>
      <c r="D25" s="14"/>
      <c r="E25" s="14"/>
      <c r="F25" s="14"/>
      <c r="G25" s="14"/>
      <c r="H25" s="14"/>
      <c r="I25" s="14"/>
      <c r="J25" s="15"/>
      <c r="K25" s="14"/>
      <c r="L25" s="15"/>
      <c r="M25" s="15"/>
    </row>
    <row r="26" spans="1:17" ht="13.5" thickBot="1" x14ac:dyDescent="0.25">
      <c r="A26" s="21"/>
      <c r="B26" s="22" t="s">
        <v>454</v>
      </c>
      <c r="C26" s="23">
        <f t="shared" ref="C26:H26" si="2">+C24+C13</f>
        <v>429438.93999999994</v>
      </c>
      <c r="D26" s="23">
        <f t="shared" si="2"/>
        <v>431107.1</v>
      </c>
      <c r="E26" s="23">
        <f t="shared" si="2"/>
        <v>408831.09</v>
      </c>
      <c r="F26" s="23">
        <f t="shared" si="2"/>
        <v>433084.91999999993</v>
      </c>
      <c r="G26" s="23">
        <f t="shared" si="2"/>
        <v>424079.87999999995</v>
      </c>
      <c r="H26" s="23">
        <f t="shared" si="2"/>
        <v>441302.8</v>
      </c>
      <c r="I26" s="23">
        <f>++I24+I13</f>
        <v>458147.52</v>
      </c>
      <c r="J26" s="24">
        <f>++J24+J13</f>
        <v>519983</v>
      </c>
      <c r="K26" s="23">
        <f>++K24+K13</f>
        <v>219936.3</v>
      </c>
      <c r="L26" s="24">
        <f>++L24+L13</f>
        <v>598886</v>
      </c>
      <c r="M26" s="24">
        <f>+L26</f>
        <v>598886</v>
      </c>
    </row>
    <row r="27" spans="1:17" ht="13.5" thickTop="1" x14ac:dyDescent="0.2">
      <c r="A27" s="4"/>
      <c r="B27" s="4"/>
      <c r="C27" s="25"/>
      <c r="D27" s="25"/>
      <c r="E27" s="25"/>
      <c r="F27" s="25"/>
      <c r="G27" s="25"/>
      <c r="H27" s="25"/>
      <c r="I27" s="25"/>
      <c r="J27" s="25"/>
      <c r="K27" s="29"/>
      <c r="L27" s="25"/>
      <c r="M27" s="25"/>
      <c r="N27" s="25"/>
      <c r="O27" s="29"/>
      <c r="P27" s="29"/>
    </row>
    <row r="28" spans="1:17" ht="13.5" thickBot="1" x14ac:dyDescent="0.25">
      <c r="A28" s="72"/>
      <c r="B28" s="161"/>
      <c r="C28" s="25"/>
      <c r="D28" s="25"/>
      <c r="E28" s="25"/>
      <c r="F28" s="25"/>
      <c r="G28" s="25"/>
      <c r="H28" s="25"/>
      <c r="I28" s="25"/>
      <c r="J28" s="25"/>
      <c r="K28" s="29"/>
      <c r="L28" s="25"/>
      <c r="M28" s="29"/>
      <c r="N28" s="29"/>
      <c r="O28" s="29"/>
      <c r="P28" s="29"/>
    </row>
    <row r="29" spans="1:17" ht="13.5" thickTop="1" x14ac:dyDescent="0.2">
      <c r="A29" s="517"/>
      <c r="B29" s="518"/>
      <c r="C29" s="519" t="s">
        <v>122</v>
      </c>
      <c r="D29" s="520" t="s">
        <v>122</v>
      </c>
      <c r="E29" s="520" t="s">
        <v>122</v>
      </c>
      <c r="H29" s="521" t="s">
        <v>542</v>
      </c>
      <c r="I29" s="522" t="s">
        <v>9</v>
      </c>
      <c r="J29" s="523" t="s">
        <v>1073</v>
      </c>
      <c r="K29" s="522" t="s">
        <v>682</v>
      </c>
      <c r="L29" s="524"/>
      <c r="M29" s="523"/>
      <c r="N29" s="29"/>
      <c r="O29" s="29"/>
      <c r="P29" s="29"/>
    </row>
    <row r="30" spans="1:17" ht="13.5" thickBot="1" x14ac:dyDescent="0.25">
      <c r="A30" s="525"/>
      <c r="B30" s="526"/>
      <c r="C30" s="527" t="s">
        <v>334</v>
      </c>
      <c r="D30" s="527" t="s">
        <v>718</v>
      </c>
      <c r="E30" s="528" t="s">
        <v>734</v>
      </c>
      <c r="H30" s="529" t="s">
        <v>899</v>
      </c>
      <c r="I30" s="529" t="s">
        <v>900</v>
      </c>
      <c r="J30" s="528" t="s">
        <v>1075</v>
      </c>
      <c r="K30" s="530" t="s">
        <v>1075</v>
      </c>
      <c r="L30" s="531" t="s">
        <v>1074</v>
      </c>
      <c r="M30" s="529"/>
      <c r="N30" s="29"/>
      <c r="O30" s="29"/>
      <c r="P30" s="29"/>
    </row>
    <row r="31" spans="1:17" ht="13.5" thickTop="1" x14ac:dyDescent="0.2">
      <c r="A31" s="548"/>
      <c r="B31" s="549"/>
      <c r="C31" s="536"/>
      <c r="D31" s="536"/>
      <c r="E31" s="536"/>
      <c r="H31" s="537"/>
      <c r="I31" s="536"/>
      <c r="J31" s="572"/>
      <c r="K31" s="545"/>
      <c r="L31" s="538"/>
      <c r="M31" s="539"/>
      <c r="N31" s="29"/>
      <c r="O31" s="29"/>
      <c r="P31" s="29"/>
    </row>
    <row r="32" spans="1:17" x14ac:dyDescent="0.2">
      <c r="A32" s="551">
        <v>5112</v>
      </c>
      <c r="B32" s="540" t="s">
        <v>154</v>
      </c>
      <c r="C32" s="544">
        <v>16950</v>
      </c>
      <c r="D32" s="544">
        <v>16247.6</v>
      </c>
      <c r="E32" s="544">
        <v>17402</v>
      </c>
      <c r="H32" s="543"/>
      <c r="I32" s="569">
        <f>+L9</f>
        <v>500</v>
      </c>
      <c r="J32" s="543"/>
      <c r="K32" s="544"/>
      <c r="L32" s="538"/>
      <c r="M32" s="539"/>
      <c r="N32" s="29"/>
      <c r="O32" s="29"/>
      <c r="P32" s="29"/>
    </row>
    <row r="33" spans="1:16" x14ac:dyDescent="0.2">
      <c r="A33" s="551">
        <v>5114</v>
      </c>
      <c r="B33" s="540" t="s">
        <v>155</v>
      </c>
      <c r="C33" s="544"/>
      <c r="D33" s="544"/>
      <c r="E33" s="544"/>
      <c r="H33" s="543">
        <f>+J10</f>
        <v>11783</v>
      </c>
      <c r="I33" s="569">
        <f>+L10</f>
        <v>12236</v>
      </c>
      <c r="J33" s="572">
        <f t="shared" ref="J33:J44" si="3">+I33-H33</f>
        <v>453</v>
      </c>
      <c r="K33" s="545">
        <f t="shared" ref="K33:K44" si="4">IF(H33+I33&lt;&gt;0,IF(H33&lt;&gt;0,IF(J33&lt;&gt;0,ROUND((+J33/H33),4),""),1),"")</f>
        <v>3.8399999999999997E-2</v>
      </c>
      <c r="L33" s="538" t="s">
        <v>1103</v>
      </c>
      <c r="M33" s="539"/>
      <c r="N33" s="29"/>
      <c r="O33" s="29"/>
      <c r="P33" s="29"/>
    </row>
    <row r="34" spans="1:16" x14ac:dyDescent="0.2">
      <c r="A34" s="551">
        <v>5132</v>
      </c>
      <c r="B34" s="540" t="s">
        <v>186</v>
      </c>
      <c r="C34" s="544">
        <v>271.2</v>
      </c>
      <c r="D34" s="544">
        <f>27.6+241.65</f>
        <v>269.25</v>
      </c>
      <c r="E34" s="544"/>
      <c r="H34" s="543">
        <f>+J11</f>
        <v>500</v>
      </c>
      <c r="I34" s="569">
        <f>+L11</f>
        <v>750</v>
      </c>
      <c r="J34" s="572">
        <f t="shared" si="3"/>
        <v>250</v>
      </c>
      <c r="K34" s="545">
        <f t="shared" si="4"/>
        <v>0.5</v>
      </c>
      <c r="L34" s="538" t="s">
        <v>1556</v>
      </c>
      <c r="M34" s="539"/>
      <c r="N34" s="29"/>
      <c r="O34" s="29"/>
      <c r="P34" s="29"/>
    </row>
    <row r="35" spans="1:16" ht="13.5" thickBot="1" x14ac:dyDescent="0.25">
      <c r="A35" s="551">
        <v>5142</v>
      </c>
      <c r="B35" s="540" t="s">
        <v>159</v>
      </c>
      <c r="C35" s="542"/>
      <c r="D35" s="542"/>
      <c r="E35" s="542"/>
      <c r="H35" s="543">
        <f>+J12</f>
        <v>0</v>
      </c>
      <c r="I35" s="569">
        <f>+L12</f>
        <v>0</v>
      </c>
      <c r="J35" s="572">
        <f t="shared" si="3"/>
        <v>0</v>
      </c>
      <c r="K35" s="545" t="str">
        <f t="shared" si="4"/>
        <v/>
      </c>
      <c r="L35" s="538"/>
      <c r="M35" s="539"/>
      <c r="N35" s="29"/>
      <c r="O35" s="29"/>
      <c r="P35" s="29"/>
    </row>
    <row r="36" spans="1:16" x14ac:dyDescent="0.2">
      <c r="A36" s="551">
        <v>5280</v>
      </c>
      <c r="B36" s="540" t="s">
        <v>210</v>
      </c>
      <c r="C36" s="544">
        <v>279469.99</v>
      </c>
      <c r="D36" s="536">
        <v>283691.19</v>
      </c>
      <c r="E36" s="536">
        <v>236050.71</v>
      </c>
      <c r="H36" s="537">
        <f t="shared" ref="H36:H42" si="5">J15</f>
        <v>219400</v>
      </c>
      <c r="I36" s="569">
        <f t="shared" ref="I36:I44" si="6">+L15</f>
        <v>228200</v>
      </c>
      <c r="J36" s="572">
        <f t="shared" si="3"/>
        <v>8800</v>
      </c>
      <c r="K36" s="545">
        <f t="shared" si="4"/>
        <v>4.0099999999999997E-2</v>
      </c>
      <c r="L36" s="538" t="s">
        <v>1103</v>
      </c>
      <c r="M36" s="539"/>
      <c r="N36" s="29"/>
      <c r="O36" s="29"/>
      <c r="P36" s="29"/>
    </row>
    <row r="37" spans="1:16" x14ac:dyDescent="0.2">
      <c r="A37" s="551">
        <v>5281</v>
      </c>
      <c r="B37" s="540" t="s">
        <v>211</v>
      </c>
      <c r="C37" s="544">
        <v>90976.54</v>
      </c>
      <c r="D37" s="536">
        <v>91840.23</v>
      </c>
      <c r="E37" s="536">
        <v>107166.88</v>
      </c>
      <c r="H37" s="537">
        <f t="shared" si="5"/>
        <v>120000</v>
      </c>
      <c r="I37" s="569">
        <f t="shared" si="6"/>
        <v>177000</v>
      </c>
      <c r="J37" s="572">
        <f t="shared" si="3"/>
        <v>57000</v>
      </c>
      <c r="K37" s="545">
        <f t="shared" si="4"/>
        <v>0.47499999999999998</v>
      </c>
      <c r="L37" s="538" t="s">
        <v>1103</v>
      </c>
      <c r="M37" s="539"/>
      <c r="N37" s="29"/>
      <c r="O37" s="29"/>
      <c r="P37" s="29"/>
    </row>
    <row r="38" spans="1:16" x14ac:dyDescent="0.2">
      <c r="A38" s="551">
        <v>5282</v>
      </c>
      <c r="B38" s="540" t="s">
        <v>30</v>
      </c>
      <c r="C38" s="544">
        <v>18401.03</v>
      </c>
      <c r="D38" s="536">
        <v>19114.689999999999</v>
      </c>
      <c r="E38" s="536">
        <v>26908.31</v>
      </c>
      <c r="H38" s="537">
        <f t="shared" si="5"/>
        <v>27300</v>
      </c>
      <c r="I38" s="569">
        <f t="shared" si="6"/>
        <v>32700</v>
      </c>
      <c r="J38" s="572">
        <f t="shared" si="3"/>
        <v>5400</v>
      </c>
      <c r="K38" s="545">
        <f t="shared" si="4"/>
        <v>0.1978</v>
      </c>
      <c r="L38" s="538" t="s">
        <v>1103</v>
      </c>
      <c r="M38" s="539"/>
      <c r="N38" s="29"/>
      <c r="O38" s="29"/>
      <c r="P38" s="29"/>
    </row>
    <row r="39" spans="1:16" x14ac:dyDescent="0.2">
      <c r="A39" s="551">
        <v>5283</v>
      </c>
      <c r="B39" s="540" t="s">
        <v>508</v>
      </c>
      <c r="C39" s="544">
        <v>3302.24</v>
      </c>
      <c r="D39" s="536">
        <v>2617.9699999999998</v>
      </c>
      <c r="E39" s="536">
        <v>3665.4</v>
      </c>
      <c r="H39" s="537">
        <f t="shared" si="5"/>
        <v>5500</v>
      </c>
      <c r="I39" s="569">
        <f t="shared" si="6"/>
        <v>5500</v>
      </c>
      <c r="J39" s="572">
        <f t="shared" si="3"/>
        <v>0</v>
      </c>
      <c r="K39" s="545" t="str">
        <f t="shared" si="4"/>
        <v/>
      </c>
      <c r="L39" s="538"/>
      <c r="M39" s="539"/>
      <c r="N39" s="29"/>
      <c r="O39" s="29"/>
      <c r="P39" s="29"/>
    </row>
    <row r="40" spans="1:16" x14ac:dyDescent="0.2">
      <c r="A40" s="551">
        <v>5284</v>
      </c>
      <c r="B40" s="540" t="s">
        <v>91</v>
      </c>
      <c r="C40" s="544">
        <v>12531.6</v>
      </c>
      <c r="D40" s="536">
        <v>12690.59</v>
      </c>
      <c r="E40" s="536">
        <v>12756.08</v>
      </c>
      <c r="H40" s="537">
        <f t="shared" si="5"/>
        <v>14500</v>
      </c>
      <c r="I40" s="569">
        <f t="shared" si="6"/>
        <v>18000</v>
      </c>
      <c r="J40" s="572">
        <f t="shared" si="3"/>
        <v>3500</v>
      </c>
      <c r="K40" s="545">
        <f t="shared" si="4"/>
        <v>0.2414</v>
      </c>
      <c r="L40" s="538" t="s">
        <v>1103</v>
      </c>
      <c r="M40" s="539"/>
      <c r="N40" s="29"/>
      <c r="O40" s="29"/>
      <c r="P40" s="29"/>
    </row>
    <row r="41" spans="1:16" x14ac:dyDescent="0.2">
      <c r="A41" s="551">
        <v>5285</v>
      </c>
      <c r="B41" s="540" t="s">
        <v>1256</v>
      </c>
      <c r="C41" s="546"/>
      <c r="D41" s="550"/>
      <c r="E41" s="550"/>
      <c r="H41" s="537">
        <f t="shared" si="5"/>
        <v>110500</v>
      </c>
      <c r="I41" s="569">
        <f t="shared" si="6"/>
        <v>115000</v>
      </c>
      <c r="J41" s="572">
        <f t="shared" ref="J41" si="7">+I41-H41</f>
        <v>4500</v>
      </c>
      <c r="K41" s="545">
        <f t="shared" si="4"/>
        <v>4.07E-2</v>
      </c>
      <c r="L41" s="538" t="s">
        <v>1103</v>
      </c>
      <c r="M41" s="539"/>
      <c r="N41" s="29"/>
      <c r="O41" s="29"/>
      <c r="P41" s="29"/>
    </row>
    <row r="42" spans="1:16" x14ac:dyDescent="0.2">
      <c r="A42" s="551">
        <v>5315</v>
      </c>
      <c r="B42" s="540" t="s">
        <v>962</v>
      </c>
      <c r="C42" s="546"/>
      <c r="D42" s="550"/>
      <c r="E42" s="550"/>
      <c r="H42" s="537">
        <f t="shared" si="5"/>
        <v>3000</v>
      </c>
      <c r="I42" s="569">
        <f t="shared" si="6"/>
        <v>1500</v>
      </c>
      <c r="J42" s="572">
        <f t="shared" si="3"/>
        <v>-1500</v>
      </c>
      <c r="K42" s="545">
        <f t="shared" si="4"/>
        <v>-0.5</v>
      </c>
      <c r="L42" s="538" t="s">
        <v>1556</v>
      </c>
      <c r="M42" s="539"/>
      <c r="N42" s="29"/>
      <c r="O42" s="29"/>
      <c r="P42" s="29"/>
    </row>
    <row r="43" spans="1:16" x14ac:dyDescent="0.2">
      <c r="A43" s="551">
        <v>5380</v>
      </c>
      <c r="B43" s="540" t="s">
        <v>1063</v>
      </c>
      <c r="C43" s="546"/>
      <c r="D43" s="550"/>
      <c r="E43" s="550"/>
      <c r="H43" s="537">
        <f t="shared" ref="H43:H44" si="8">J22</f>
        <v>0</v>
      </c>
      <c r="I43" s="569">
        <f t="shared" si="6"/>
        <v>0</v>
      </c>
      <c r="J43" s="572">
        <f t="shared" si="3"/>
        <v>0</v>
      </c>
      <c r="K43" s="545" t="str">
        <f t="shared" si="4"/>
        <v/>
      </c>
      <c r="L43" s="538"/>
      <c r="M43" s="539"/>
      <c r="N43" s="29"/>
      <c r="O43" s="29"/>
      <c r="P43" s="29"/>
    </row>
    <row r="44" spans="1:16" ht="13.5" thickBot="1" x14ac:dyDescent="0.25">
      <c r="A44" s="551">
        <v>5420</v>
      </c>
      <c r="B44" s="540" t="s">
        <v>139</v>
      </c>
      <c r="C44" s="542">
        <v>7536.34</v>
      </c>
      <c r="D44" s="542">
        <v>4635.58</v>
      </c>
      <c r="E44" s="542">
        <v>4881.71</v>
      </c>
      <c r="H44" s="537">
        <f t="shared" si="8"/>
        <v>7500</v>
      </c>
      <c r="I44" s="569">
        <f t="shared" si="6"/>
        <v>7500</v>
      </c>
      <c r="J44" s="572">
        <f t="shared" si="3"/>
        <v>0</v>
      </c>
      <c r="K44" s="545" t="str">
        <f t="shared" si="4"/>
        <v/>
      </c>
      <c r="L44" s="538" t="s">
        <v>1105</v>
      </c>
      <c r="M44" s="539"/>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t="s">
        <v>1600</v>
      </c>
      <c r="C46" s="25"/>
      <c r="D46" s="25"/>
      <c r="E46" s="25"/>
      <c r="F46" s="25"/>
      <c r="G46" s="25"/>
      <c r="H46" s="849">
        <f>SUM(H31:H44)</f>
        <v>519983</v>
      </c>
      <c r="I46" s="849">
        <f>SUM(I31:I44)</f>
        <v>598886</v>
      </c>
      <c r="J46" s="208">
        <f t="shared" ref="J46" si="9">+I46-H46</f>
        <v>78903</v>
      </c>
      <c r="K46" s="850">
        <f t="shared" ref="K46" si="10">IF(H46+I46&lt;&gt;0,IF(H46&lt;&gt;0,IF(J46&lt;&gt;0,ROUND((+J46/H46),4),""),1),"")</f>
        <v>0.1517</v>
      </c>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29"/>
      <c r="L50" s="25"/>
      <c r="M50" s="25"/>
      <c r="N50" s="29"/>
      <c r="O50" s="29"/>
      <c r="P50" s="29"/>
    </row>
    <row r="51" spans="1:16" x14ac:dyDescent="0.2">
      <c r="A51" s="4"/>
      <c r="B51" s="4"/>
      <c r="C51" s="25"/>
      <c r="D51" s="25"/>
      <c r="E51" s="25"/>
      <c r="F51" s="25"/>
      <c r="G51" s="25"/>
      <c r="H51" s="25"/>
      <c r="I51" s="25"/>
      <c r="J51" s="25"/>
      <c r="K51" s="29"/>
      <c r="L51" s="25"/>
      <c r="M51" s="25"/>
      <c r="N51" s="29"/>
      <c r="O51" s="29"/>
      <c r="P51" s="29"/>
    </row>
    <row r="52" spans="1:16" x14ac:dyDescent="0.2">
      <c r="A52" s="4"/>
      <c r="B52" s="4"/>
      <c r="C52" s="25"/>
      <c r="D52" s="25"/>
      <c r="E52" s="25"/>
      <c r="F52" s="25"/>
      <c r="G52" s="25"/>
      <c r="H52" s="25"/>
      <c r="I52" s="25"/>
      <c r="J52" s="25"/>
      <c r="K52" s="29"/>
      <c r="L52" s="25"/>
      <c r="M52" s="25"/>
      <c r="N52" s="29"/>
      <c r="O52" s="29"/>
      <c r="P52" s="29"/>
    </row>
    <row r="53" spans="1:16" x14ac:dyDescent="0.2">
      <c r="A53" s="4"/>
      <c r="B53" s="4"/>
      <c r="C53" s="25"/>
      <c r="D53" s="25"/>
      <c r="E53" s="25"/>
      <c r="F53" s="25"/>
      <c r="G53" s="25"/>
      <c r="H53" s="25"/>
      <c r="I53" s="25"/>
      <c r="J53" s="25"/>
      <c r="K53" s="29"/>
      <c r="L53" s="25"/>
      <c r="M53" s="25"/>
      <c r="N53" s="29"/>
      <c r="O53" s="29"/>
      <c r="P53" s="29"/>
    </row>
    <row r="54" spans="1:16" x14ac:dyDescent="0.2">
      <c r="A54" s="4"/>
      <c r="B54" s="4"/>
      <c r="C54" s="25"/>
      <c r="D54" s="25"/>
      <c r="E54" s="25"/>
      <c r="F54" s="25"/>
      <c r="G54" s="25"/>
      <c r="H54" s="25"/>
      <c r="I54" s="25"/>
      <c r="J54" s="25"/>
      <c r="K54" s="29"/>
      <c r="L54" s="25"/>
      <c r="M54" s="25"/>
      <c r="N54" s="29"/>
      <c r="O54" s="29"/>
      <c r="P54" s="29"/>
    </row>
    <row r="55" spans="1:16" x14ac:dyDescent="0.2">
      <c r="A55" s="4"/>
      <c r="B55" s="4"/>
      <c r="C55" s="25"/>
      <c r="D55" s="25"/>
      <c r="E55" s="25"/>
      <c r="F55" s="25"/>
      <c r="G55" s="25"/>
      <c r="H55" s="25"/>
      <c r="I55" s="25"/>
      <c r="J55" s="25"/>
      <c r="K55" s="29"/>
      <c r="L55" s="25"/>
      <c r="M55" s="25"/>
      <c r="N55" s="29"/>
      <c r="O55" s="29"/>
      <c r="P55" s="29"/>
    </row>
    <row r="56" spans="1:16" x14ac:dyDescent="0.2">
      <c r="A56" s="4"/>
      <c r="B56" s="4"/>
      <c r="C56" s="25"/>
      <c r="D56" s="25"/>
      <c r="E56" s="25"/>
      <c r="F56" s="25"/>
      <c r="G56" s="25"/>
      <c r="H56" s="25"/>
      <c r="I56" s="25"/>
      <c r="J56" s="25"/>
      <c r="K56" s="29"/>
      <c r="L56" s="25"/>
      <c r="M56" s="25"/>
      <c r="N56" s="29"/>
      <c r="O56" s="29"/>
      <c r="P56" s="29"/>
    </row>
    <row r="57" spans="1:16" x14ac:dyDescent="0.2">
      <c r="A57" s="4"/>
      <c r="B57" s="4"/>
      <c r="C57" s="25"/>
      <c r="D57" s="25"/>
      <c r="E57" s="25"/>
      <c r="F57" s="25"/>
      <c r="G57" s="25"/>
      <c r="H57" s="25"/>
      <c r="I57" s="25"/>
      <c r="J57" s="25"/>
      <c r="K57" s="29"/>
      <c r="L57" s="25"/>
      <c r="M57" s="25"/>
      <c r="N57" s="29"/>
      <c r="O57" s="29"/>
      <c r="P57" s="29"/>
    </row>
    <row r="58" spans="1:16" x14ac:dyDescent="0.2">
      <c r="A58" s="4"/>
      <c r="B58" s="4"/>
      <c r="C58" s="25"/>
      <c r="D58" s="25"/>
      <c r="E58" s="25"/>
      <c r="F58" s="25"/>
      <c r="G58" s="25"/>
      <c r="H58" s="25"/>
      <c r="I58" s="25"/>
      <c r="J58" s="25"/>
      <c r="K58" s="29"/>
      <c r="L58" s="25"/>
      <c r="M58" s="25"/>
      <c r="N58" s="29"/>
      <c r="O58" s="29"/>
      <c r="P58" s="29"/>
    </row>
    <row r="59" spans="1:16" x14ac:dyDescent="0.2">
      <c r="A59" s="4"/>
      <c r="B59" s="4"/>
      <c r="C59" s="25"/>
      <c r="D59" s="25"/>
      <c r="E59" s="25"/>
      <c r="F59" s="25"/>
      <c r="G59" s="25"/>
      <c r="H59" s="25"/>
      <c r="I59" s="25"/>
      <c r="J59" s="25"/>
      <c r="K59" s="29"/>
      <c r="L59" s="25"/>
      <c r="M59" s="25"/>
      <c r="N59" s="29"/>
      <c r="O59" s="29"/>
      <c r="P59" s="29"/>
    </row>
    <row r="60" spans="1:16" x14ac:dyDescent="0.2">
      <c r="A60" s="4"/>
      <c r="B60" s="4"/>
      <c r="C60" s="25"/>
      <c r="D60" s="25"/>
      <c r="E60" s="25"/>
      <c r="F60" s="25"/>
      <c r="G60" s="25"/>
      <c r="H60" s="25"/>
      <c r="I60" s="25"/>
      <c r="J60" s="25"/>
      <c r="K60" s="29"/>
      <c r="L60" s="25"/>
      <c r="M60" s="25"/>
      <c r="N60" s="29"/>
      <c r="O60" s="29"/>
      <c r="P60" s="29"/>
    </row>
    <row r="61" spans="1:16" x14ac:dyDescent="0.2">
      <c r="A61" s="4"/>
      <c r="B61" s="4"/>
      <c r="C61" s="25"/>
      <c r="D61" s="25"/>
      <c r="E61" s="25"/>
      <c r="F61" s="25"/>
      <c r="G61" s="25"/>
      <c r="H61" s="25"/>
      <c r="I61" s="25"/>
      <c r="J61" s="25"/>
      <c r="K61" s="29"/>
      <c r="L61" s="25"/>
      <c r="M61" s="25"/>
      <c r="N61" s="29"/>
      <c r="O61" s="29"/>
      <c r="P61" s="29"/>
    </row>
    <row r="62" spans="1:16" x14ac:dyDescent="0.2">
      <c r="A62" s="4"/>
      <c r="B62" s="4"/>
      <c r="C62" s="25"/>
      <c r="D62" s="25"/>
      <c r="E62" s="25"/>
      <c r="F62" s="25"/>
      <c r="G62" s="25"/>
      <c r="H62" s="25"/>
      <c r="I62" s="25"/>
      <c r="J62" s="25"/>
      <c r="K62" s="29"/>
      <c r="L62" s="25"/>
      <c r="M62" s="25"/>
      <c r="N62" s="29"/>
      <c r="O62" s="29"/>
      <c r="P62" s="29"/>
    </row>
    <row r="63" spans="1:16" x14ac:dyDescent="0.2">
      <c r="A63" s="4"/>
      <c r="B63" s="4"/>
      <c r="C63" s="25"/>
      <c r="D63" s="25"/>
      <c r="E63" s="25"/>
      <c r="F63" s="25"/>
      <c r="G63" s="25"/>
      <c r="H63" s="25"/>
      <c r="I63" s="25"/>
      <c r="J63" s="25"/>
      <c r="K63" s="29"/>
      <c r="L63" s="25"/>
      <c r="M63" s="25"/>
      <c r="N63" s="29"/>
      <c r="O63" s="29"/>
      <c r="P63" s="29"/>
    </row>
    <row r="64" spans="1:16" x14ac:dyDescent="0.2">
      <c r="A64" s="4"/>
      <c r="B64" s="4"/>
      <c r="C64" s="25"/>
      <c r="D64" s="25"/>
      <c r="E64" s="25"/>
      <c r="F64" s="25"/>
      <c r="G64" s="25"/>
      <c r="H64" s="25"/>
      <c r="I64" s="25"/>
      <c r="J64" s="25"/>
      <c r="K64" s="4"/>
      <c r="L64" s="25"/>
      <c r="M64" s="25"/>
      <c r="N64" s="4"/>
      <c r="O64" s="4"/>
      <c r="P64" s="4"/>
    </row>
    <row r="65" spans="1:16" x14ac:dyDescent="0.2">
      <c r="A65" s="4"/>
      <c r="B65" s="4"/>
      <c r="C65" s="25"/>
      <c r="D65" s="25"/>
      <c r="E65" s="25"/>
      <c r="F65" s="25"/>
      <c r="G65" s="25"/>
      <c r="H65" s="25"/>
      <c r="I65" s="25"/>
      <c r="J65" s="25"/>
      <c r="K65" s="4"/>
      <c r="L65" s="25"/>
      <c r="M65" s="25"/>
      <c r="N65" s="4"/>
      <c r="O65" s="4"/>
      <c r="P65" s="4"/>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A123" s="4"/>
      <c r="B123" s="4"/>
      <c r="C123" s="25"/>
      <c r="D123" s="25"/>
      <c r="E123" s="25"/>
      <c r="F123" s="25"/>
      <c r="G123" s="25"/>
      <c r="H123" s="25"/>
      <c r="I123" s="25"/>
      <c r="J123" s="25"/>
      <c r="K123" s="4"/>
      <c r="L123" s="25"/>
      <c r="M123" s="25"/>
      <c r="N123" s="4"/>
      <c r="O123" s="4"/>
      <c r="P123" s="4"/>
    </row>
    <row r="124" spans="1:16" x14ac:dyDescent="0.2">
      <c r="A124" s="4"/>
      <c r="B124" s="4"/>
      <c r="C124" s="25"/>
      <c r="D124" s="25"/>
      <c r="E124" s="25"/>
      <c r="F124" s="25"/>
      <c r="G124" s="25"/>
      <c r="H124" s="25"/>
      <c r="I124" s="25"/>
      <c r="J124" s="25"/>
      <c r="K124" s="4"/>
      <c r="L124" s="25"/>
      <c r="M124" s="25"/>
      <c r="N124" s="4"/>
      <c r="O124" s="4"/>
      <c r="P124" s="4"/>
    </row>
    <row r="125" spans="1:16" x14ac:dyDescent="0.2">
      <c r="A125" s="4"/>
      <c r="B125" s="4"/>
      <c r="C125" s="25"/>
      <c r="D125" s="25"/>
      <c r="E125" s="25"/>
      <c r="F125" s="25"/>
      <c r="G125" s="25"/>
      <c r="H125" s="25"/>
      <c r="I125" s="25"/>
      <c r="J125" s="25"/>
      <c r="K125" s="4"/>
      <c r="L125" s="25"/>
      <c r="M125" s="25"/>
      <c r="N125" s="4"/>
      <c r="O125" s="4"/>
      <c r="P125" s="4"/>
    </row>
    <row r="126" spans="1:16" x14ac:dyDescent="0.2">
      <c r="C126" s="121"/>
    </row>
    <row r="127" spans="1:16" x14ac:dyDescent="0.2">
      <c r="C127" s="121"/>
    </row>
    <row r="128" spans="1:16"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2" orientation="landscape" horizontalDpi="300" verticalDpi="300" r:id="rId1"/>
  <headerFooter alignWithMargins="0">
    <oddFooter>&amp;L&amp;D     &amp;T&amp;C&amp;F&amp;R&amp;A</oddFooter>
  </headerFooter>
  <rowBreaks count="1" manualBreakCount="1">
    <brk id="28" max="1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5" zoomScaleNormal="85" workbookViewId="0">
      <selection activeCell="K15" sqref="K15"/>
    </sheetView>
  </sheetViews>
  <sheetFormatPr defaultRowHeight="12.75" x14ac:dyDescent="0.2"/>
  <cols>
    <col min="1" max="1" width="9.5" bestFit="1" customWidth="1"/>
    <col min="2" max="2" width="36.6640625" customWidth="1"/>
    <col min="3" max="6" width="11.1640625" hidden="1" customWidth="1"/>
    <col min="7" max="7" width="9" hidden="1" customWidth="1"/>
    <col min="8" max="13" width="14.6640625" customWidth="1"/>
  </cols>
  <sheetData>
    <row r="1" spans="1:13" x14ac:dyDescent="0.2">
      <c r="A1" s="410" t="s">
        <v>1013</v>
      </c>
      <c r="B1" s="410" t="s">
        <v>1418</v>
      </c>
      <c r="C1" s="1"/>
      <c r="D1" s="121"/>
      <c r="E1" s="121"/>
      <c r="F1" s="121"/>
      <c r="G1" s="121"/>
      <c r="H1" s="121"/>
      <c r="I1" s="121"/>
      <c r="J1" s="121"/>
      <c r="L1" s="1"/>
    </row>
    <row r="2" spans="1:13" ht="15" x14ac:dyDescent="0.25">
      <c r="A2" s="49" t="s">
        <v>257</v>
      </c>
      <c r="B2" s="49"/>
      <c r="C2" s="1"/>
      <c r="D2" s="121"/>
      <c r="E2" s="153"/>
      <c r="F2" s="121"/>
      <c r="G2" s="121"/>
      <c r="H2" s="153" t="s">
        <v>252</v>
      </c>
      <c r="I2" s="153"/>
      <c r="J2" s="153"/>
      <c r="K2" s="67" t="s">
        <v>1501</v>
      </c>
      <c r="L2" s="1"/>
      <c r="M2" s="50" t="s">
        <v>1500</v>
      </c>
    </row>
    <row r="3" spans="1:13" ht="13.5" thickBot="1" x14ac:dyDescent="0.25">
      <c r="A3" s="4"/>
      <c r="B3" s="4"/>
      <c r="C3" s="25"/>
      <c r="D3" s="25"/>
      <c r="E3" s="25"/>
      <c r="F3" s="25"/>
      <c r="G3" s="25"/>
      <c r="H3" s="25"/>
      <c r="I3" s="25"/>
      <c r="J3" s="25"/>
      <c r="K3" s="4"/>
      <c r="L3" s="25"/>
      <c r="M3" s="4"/>
    </row>
    <row r="4" spans="1:13"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3" x14ac:dyDescent="0.2">
      <c r="A5" s="93"/>
      <c r="B5" s="216"/>
      <c r="C5" s="137"/>
      <c r="D5" s="94"/>
      <c r="E5" s="120"/>
      <c r="F5" s="94"/>
      <c r="G5" s="94"/>
      <c r="H5" s="120"/>
      <c r="I5" s="318"/>
      <c r="J5" s="318"/>
      <c r="K5" s="120" t="s">
        <v>509</v>
      </c>
      <c r="L5" s="95" t="s">
        <v>7</v>
      </c>
      <c r="M5" s="209" t="s">
        <v>783</v>
      </c>
    </row>
    <row r="6" spans="1:13" x14ac:dyDescent="0.2">
      <c r="A6" s="93"/>
      <c r="B6" s="216"/>
      <c r="C6" s="137"/>
      <c r="D6" s="137"/>
      <c r="E6" s="137"/>
      <c r="F6" s="94"/>
      <c r="G6" s="137"/>
      <c r="H6" s="137"/>
      <c r="I6" s="95"/>
      <c r="J6" s="95"/>
      <c r="K6" s="137"/>
      <c r="L6" s="95" t="s">
        <v>8</v>
      </c>
      <c r="M6" s="51" t="s">
        <v>537</v>
      </c>
    </row>
    <row r="7" spans="1:13"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3" ht="13.5" thickTop="1" x14ac:dyDescent="0.2">
      <c r="A8" s="30"/>
      <c r="B8" s="218"/>
      <c r="C8" s="142"/>
      <c r="D8" s="19"/>
      <c r="E8" s="19"/>
      <c r="F8" s="19"/>
      <c r="G8" s="19"/>
      <c r="H8" s="19"/>
      <c r="I8" s="20"/>
      <c r="J8" s="20"/>
      <c r="K8" s="19"/>
      <c r="L8" s="20"/>
      <c r="M8" s="20"/>
    </row>
    <row r="9" spans="1:13" ht="13.5" thickBot="1" x14ac:dyDescent="0.25">
      <c r="A9" s="12">
        <v>5211</v>
      </c>
      <c r="B9" s="69" t="s">
        <v>187</v>
      </c>
      <c r="C9" s="141"/>
      <c r="D9" s="16"/>
      <c r="E9" s="14"/>
      <c r="F9" s="14"/>
      <c r="G9" s="14"/>
      <c r="H9" s="14"/>
      <c r="I9" s="14"/>
      <c r="J9" s="15"/>
      <c r="K9" s="14"/>
      <c r="L9" s="15">
        <v>7000</v>
      </c>
      <c r="M9" s="15"/>
    </row>
    <row r="10" spans="1:13" x14ac:dyDescent="0.2">
      <c r="A10" s="12">
        <v>5247</v>
      </c>
      <c r="B10" s="69" t="s">
        <v>1504</v>
      </c>
      <c r="C10" s="263"/>
      <c r="D10" s="39"/>
      <c r="E10" s="14"/>
      <c r="F10" s="14"/>
      <c r="G10" s="14"/>
      <c r="H10" s="14"/>
      <c r="I10" s="14"/>
      <c r="J10" s="15"/>
      <c r="K10" s="14"/>
      <c r="L10" s="15"/>
      <c r="M10" s="15"/>
    </row>
    <row r="11" spans="1:13" x14ac:dyDescent="0.2">
      <c r="A11" s="12">
        <v>5740</v>
      </c>
      <c r="B11" s="69" t="s">
        <v>1503</v>
      </c>
      <c r="C11" s="14"/>
      <c r="D11" s="14"/>
      <c r="E11" s="14"/>
      <c r="F11" s="14"/>
      <c r="G11" s="14"/>
      <c r="H11" s="14"/>
      <c r="I11" s="14"/>
      <c r="J11" s="15"/>
      <c r="K11" s="14"/>
      <c r="L11" s="15"/>
      <c r="M11" s="15"/>
    </row>
    <row r="12" spans="1:13" ht="13.5" thickBot="1" x14ac:dyDescent="0.25">
      <c r="A12" s="12"/>
      <c r="B12" s="69"/>
      <c r="C12" s="16"/>
      <c r="D12" s="16"/>
      <c r="E12" s="16"/>
      <c r="F12" s="16"/>
      <c r="G12" s="16"/>
      <c r="H12" s="16"/>
      <c r="I12" s="16"/>
      <c r="J12" s="17"/>
      <c r="K12" s="16"/>
      <c r="L12" s="17"/>
      <c r="M12" s="17"/>
    </row>
    <row r="13" spans="1:13" x14ac:dyDescent="0.2">
      <c r="A13" s="12"/>
      <c r="B13" s="70" t="s">
        <v>442</v>
      </c>
      <c r="C13" s="142">
        <f t="shared" ref="C13:K13" si="0">SUM(C9:C9)</f>
        <v>0</v>
      </c>
      <c r="D13" s="19">
        <f t="shared" si="0"/>
        <v>0</v>
      </c>
      <c r="E13" s="19">
        <f t="shared" si="0"/>
        <v>0</v>
      </c>
      <c r="F13" s="19">
        <f>+F9</f>
        <v>0</v>
      </c>
      <c r="G13" s="19">
        <f>+G9</f>
        <v>0</v>
      </c>
      <c r="H13" s="19">
        <f>+H9</f>
        <v>0</v>
      </c>
      <c r="I13" s="19">
        <f>SUM(I9:I11)</f>
        <v>0</v>
      </c>
      <c r="J13" s="20">
        <f>SUM(J9:J12)</f>
        <v>0</v>
      </c>
      <c r="K13" s="19">
        <f t="shared" si="0"/>
        <v>0</v>
      </c>
      <c r="L13" s="20">
        <f>SUM(L9:L12)</f>
        <v>7000</v>
      </c>
      <c r="M13" s="20">
        <f>+L13</f>
        <v>7000</v>
      </c>
    </row>
    <row r="14" spans="1:13" x14ac:dyDescent="0.2">
      <c r="A14" s="12"/>
      <c r="B14" s="69"/>
      <c r="C14" s="140"/>
      <c r="D14" s="14"/>
      <c r="E14" s="14"/>
      <c r="F14" s="14"/>
      <c r="G14" s="14"/>
      <c r="H14" s="14"/>
      <c r="I14" s="14"/>
      <c r="J14" s="15"/>
      <c r="K14" s="14"/>
      <c r="L14" s="15"/>
      <c r="M14" s="15"/>
    </row>
    <row r="15" spans="1:13" ht="13.5" thickBot="1" x14ac:dyDescent="0.25">
      <c r="A15" s="21"/>
      <c r="B15" s="825" t="s">
        <v>1502</v>
      </c>
      <c r="C15" s="816" t="e">
        <f>+#REF!+C13</f>
        <v>#REF!</v>
      </c>
      <c r="D15" s="23" t="e">
        <f>+#REF!+D13</f>
        <v>#REF!</v>
      </c>
      <c r="E15" s="23" t="e">
        <f>+#REF!+E13</f>
        <v>#REF!</v>
      </c>
      <c r="F15" s="23" t="e">
        <f>+#REF!+F13</f>
        <v>#REF!</v>
      </c>
      <c r="G15" s="23" t="e">
        <f>+#REF!+G13</f>
        <v>#REF!</v>
      </c>
      <c r="H15" s="23">
        <f>+H13</f>
        <v>0</v>
      </c>
      <c r="I15" s="23">
        <f t="shared" ref="I15:M15" si="1">+I13</f>
        <v>0</v>
      </c>
      <c r="J15" s="23">
        <f t="shared" si="1"/>
        <v>0</v>
      </c>
      <c r="K15" s="23">
        <f t="shared" si="1"/>
        <v>0</v>
      </c>
      <c r="L15" s="744">
        <f t="shared" si="1"/>
        <v>7000</v>
      </c>
      <c r="M15" s="744">
        <f t="shared" si="1"/>
        <v>7000</v>
      </c>
    </row>
    <row r="16" spans="1:13" ht="13.5" thickTop="1" x14ac:dyDescent="0.2">
      <c r="A16" s="4"/>
      <c r="B16" s="826"/>
      <c r="C16" s="26"/>
      <c r="D16" s="26"/>
      <c r="E16" s="26"/>
      <c r="F16" s="26"/>
      <c r="G16" s="26"/>
      <c r="H16" s="26"/>
      <c r="I16" s="26"/>
      <c r="J16" s="26"/>
      <c r="K16" s="27"/>
      <c r="L16" s="26"/>
      <c r="M16" s="25"/>
    </row>
    <row r="17" spans="1:13" ht="13.5" thickBot="1" x14ac:dyDescent="0.25">
      <c r="A17" s="72"/>
      <c r="B17" s="4"/>
      <c r="C17" s="25"/>
      <c r="D17" s="25"/>
      <c r="E17" s="25"/>
      <c r="F17" s="25"/>
      <c r="G17" s="25"/>
      <c r="H17" s="25"/>
      <c r="I17" s="25"/>
      <c r="J17" s="25"/>
      <c r="K17" s="29"/>
      <c r="L17" s="25"/>
      <c r="M17" s="29"/>
    </row>
    <row r="18" spans="1:13" ht="13.5" thickTop="1" x14ac:dyDescent="0.2">
      <c r="A18" s="517"/>
      <c r="B18" s="518"/>
      <c r="C18" s="519" t="s">
        <v>122</v>
      </c>
      <c r="D18" s="520" t="s">
        <v>122</v>
      </c>
      <c r="E18" s="520" t="s">
        <v>122</v>
      </c>
      <c r="F18" s="121"/>
      <c r="G18" s="121"/>
      <c r="H18" s="521" t="s">
        <v>542</v>
      </c>
      <c r="I18" s="522" t="s">
        <v>9</v>
      </c>
      <c r="J18" s="523" t="s">
        <v>1073</v>
      </c>
      <c r="K18" s="522" t="s">
        <v>682</v>
      </c>
      <c r="L18" s="524"/>
      <c r="M18" s="523"/>
    </row>
    <row r="19" spans="1:13" ht="13.5" thickBot="1" x14ac:dyDescent="0.25">
      <c r="A19" s="525" t="s">
        <v>123</v>
      </c>
      <c r="B19" s="526"/>
      <c r="C19" s="527" t="s">
        <v>334</v>
      </c>
      <c r="D19" s="527" t="s">
        <v>718</v>
      </c>
      <c r="E19" s="528" t="s">
        <v>734</v>
      </c>
      <c r="F19" s="121"/>
      <c r="G19" s="121"/>
      <c r="H19" s="529" t="s">
        <v>899</v>
      </c>
      <c r="I19" s="529" t="s">
        <v>900</v>
      </c>
      <c r="J19" s="528" t="s">
        <v>1075</v>
      </c>
      <c r="K19" s="530" t="s">
        <v>1075</v>
      </c>
      <c r="L19" s="531" t="s">
        <v>1074</v>
      </c>
      <c r="M19" s="529"/>
    </row>
    <row r="20" spans="1:13" ht="13.5" thickTop="1" x14ac:dyDescent="0.2">
      <c r="A20" s="548"/>
      <c r="B20" s="549"/>
      <c r="C20" s="536"/>
      <c r="D20" s="536"/>
      <c r="E20" s="536"/>
      <c r="F20" s="121"/>
      <c r="G20" s="121"/>
      <c r="H20" s="537"/>
      <c r="I20" s="536"/>
      <c r="J20" s="572"/>
      <c r="K20" s="545"/>
      <c r="L20" s="538"/>
      <c r="M20" s="539"/>
    </row>
    <row r="21" spans="1:13" ht="13.5" thickBot="1" x14ac:dyDescent="0.25">
      <c r="A21" s="551">
        <v>5211</v>
      </c>
      <c r="B21" s="573" t="s">
        <v>187</v>
      </c>
      <c r="C21" s="542"/>
      <c r="D21" s="542"/>
      <c r="E21" s="544"/>
      <c r="F21" s="121"/>
      <c r="G21" s="121"/>
      <c r="H21" s="543">
        <f>+J9</f>
        <v>0</v>
      </c>
      <c r="I21" s="569">
        <f>+L9</f>
        <v>7000</v>
      </c>
      <c r="J21" s="572">
        <f>+I21-H21</f>
        <v>7000</v>
      </c>
      <c r="K21" s="545">
        <f>IF(H21+I21&lt;&gt;0,IF(H21&lt;&gt;0,IF(J21&lt;&gt;0,ROUND((+J21/H21),4),""),1),"")</f>
        <v>1</v>
      </c>
      <c r="L21" s="538" t="s">
        <v>1505</v>
      </c>
      <c r="M21" s="539"/>
    </row>
    <row r="22" spans="1:13" x14ac:dyDescent="0.2">
      <c r="A22" s="551">
        <v>5247</v>
      </c>
      <c r="B22" s="573" t="s">
        <v>1504</v>
      </c>
      <c r="C22" s="550"/>
      <c r="D22" s="550"/>
      <c r="E22" s="544"/>
      <c r="F22" s="121"/>
      <c r="G22" s="121"/>
      <c r="H22" s="543"/>
      <c r="I22" s="569">
        <f>+L10</f>
        <v>0</v>
      </c>
      <c r="J22" s="572">
        <f>+I22-H22</f>
        <v>0</v>
      </c>
      <c r="K22" s="545" t="str">
        <f>IF(H22+I22&lt;&gt;0,IF(H22&lt;&gt;0,IF(J22&lt;&gt;0,ROUND((+J22/H22),4),""),1),"")</f>
        <v/>
      </c>
      <c r="L22" s="538" t="s">
        <v>1505</v>
      </c>
      <c r="M22" s="539"/>
    </row>
    <row r="23" spans="1:13" x14ac:dyDescent="0.2">
      <c r="A23" s="551">
        <v>5740</v>
      </c>
      <c r="B23" s="573" t="s">
        <v>1503</v>
      </c>
      <c r="C23" s="550"/>
      <c r="D23" s="550"/>
      <c r="E23" s="544"/>
      <c r="F23" s="121"/>
      <c r="G23" s="121"/>
      <c r="H23" s="543"/>
      <c r="I23" s="569">
        <f>+L11</f>
        <v>0</v>
      </c>
      <c r="J23" s="572">
        <f>+I23-H23</f>
        <v>0</v>
      </c>
      <c r="K23" s="545" t="str">
        <f>IF(H23+I23&lt;&gt;0,IF(H23&lt;&gt;0,IF(J23&lt;&gt;0,ROUND((+J23/H23),4),""),1),"")</f>
        <v/>
      </c>
      <c r="L23" s="538" t="s">
        <v>1505</v>
      </c>
      <c r="M23" s="539"/>
    </row>
    <row r="24" spans="1:13" x14ac:dyDescent="0.2">
      <c r="A24" s="551"/>
      <c r="B24" s="573"/>
      <c r="C24" s="575"/>
      <c r="D24" s="575"/>
      <c r="E24" s="575"/>
      <c r="F24" s="121"/>
      <c r="G24" s="121"/>
      <c r="H24" s="543"/>
      <c r="I24" s="569">
        <f>+L12</f>
        <v>0</v>
      </c>
      <c r="J24" s="572">
        <f>+I24-H24</f>
        <v>0</v>
      </c>
      <c r="K24" s="545" t="str">
        <f>IF(H24+I24&lt;&gt;0,IF(H24&lt;&gt;0,IF(J24&lt;&gt;0,ROUND((+J24/H24),4),""),1),"")</f>
        <v/>
      </c>
      <c r="L24" s="538"/>
      <c r="M24" s="539"/>
    </row>
    <row r="26" spans="1:13" x14ac:dyDescent="0.2">
      <c r="B26" s="4" t="s">
        <v>1600</v>
      </c>
      <c r="C26" s="25"/>
      <c r="D26" s="25"/>
      <c r="E26" s="25"/>
      <c r="F26" s="25"/>
      <c r="G26" s="25"/>
      <c r="H26" s="849">
        <f>SUM(H15:H25)</f>
        <v>0</v>
      </c>
      <c r="I26" s="849">
        <f>SUM(I15:I25)</f>
        <v>7000</v>
      </c>
      <c r="J26" s="208">
        <f t="shared" ref="J26" si="2">+I26-H26</f>
        <v>7000</v>
      </c>
      <c r="K26" s="850">
        <f t="shared" ref="K26" si="3">IF(H26+I26&lt;&gt;0,IF(H26&lt;&gt;0,IF(J26&lt;&gt;0,ROUND((+J26/H26),4),""),1),"")</f>
        <v>1</v>
      </c>
    </row>
  </sheetData>
  <hyperlinks>
    <hyperlink ref="A1" location="'Working Budget with funding det'!A1" display="Main "/>
    <hyperlink ref="B1" location="'Table of Contents'!A1" display="TOC"/>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1"/>
  <sheetViews>
    <sheetView zoomScale="85" workbookViewId="0">
      <pane ySplit="7" topLeftCell="A8" activePane="bottomLeft" state="frozen"/>
      <selection activeCell="K15" sqref="K15"/>
      <selection pane="bottomLeft" activeCell="K15" sqref="K15"/>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257</v>
      </c>
      <c r="B2" s="49"/>
      <c r="E2" s="153"/>
      <c r="H2" s="153" t="s">
        <v>252</v>
      </c>
      <c r="I2" s="153"/>
      <c r="J2" s="153"/>
      <c r="K2" s="67" t="s">
        <v>300</v>
      </c>
      <c r="M2" s="50" t="s">
        <v>87</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94"/>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20"/>
      <c r="J8" s="20"/>
      <c r="K8" s="19"/>
      <c r="L8" s="20"/>
      <c r="M8" s="20"/>
    </row>
    <row r="9" spans="1:16" ht="13.5" thickBot="1" x14ac:dyDescent="0.25">
      <c r="A9" s="12">
        <v>5241</v>
      </c>
      <c r="B9" s="69" t="s">
        <v>191</v>
      </c>
      <c r="C9" s="141">
        <v>4741</v>
      </c>
      <c r="D9" s="16">
        <v>2715</v>
      </c>
      <c r="E9" s="14">
        <v>5850</v>
      </c>
      <c r="F9" s="14">
        <v>6360</v>
      </c>
      <c r="G9" s="14">
        <v>6040</v>
      </c>
      <c r="H9" s="14">
        <v>5440</v>
      </c>
      <c r="I9" s="14">
        <v>6955</v>
      </c>
      <c r="J9" s="15">
        <v>7000</v>
      </c>
      <c r="K9" s="14">
        <v>3845</v>
      </c>
      <c r="L9" s="15">
        <v>7000</v>
      </c>
      <c r="M9" s="15"/>
      <c r="N9" s="254"/>
    </row>
    <row r="10" spans="1:16" x14ac:dyDescent="0.2">
      <c r="A10" s="12">
        <v>5400</v>
      </c>
      <c r="B10" s="69" t="s">
        <v>1045</v>
      </c>
      <c r="C10" s="811"/>
      <c r="D10" s="32"/>
      <c r="E10" s="14"/>
      <c r="F10" s="14"/>
      <c r="G10" s="14"/>
      <c r="H10" s="14">
        <v>3000</v>
      </c>
      <c r="I10" s="14"/>
      <c r="J10" s="15"/>
      <c r="K10" s="14"/>
      <c r="L10" s="15"/>
      <c r="M10" s="15"/>
    </row>
    <row r="11" spans="1:16" ht="13.5" thickBot="1" x14ac:dyDescent="0.25">
      <c r="A11" s="12"/>
      <c r="B11" s="69"/>
      <c r="C11" s="811"/>
      <c r="D11" s="32"/>
      <c r="E11" s="16"/>
      <c r="F11" s="16"/>
      <c r="G11" s="16"/>
      <c r="H11" s="16"/>
      <c r="I11" s="16"/>
      <c r="J11" s="17"/>
      <c r="K11" s="16"/>
      <c r="L11" s="17"/>
      <c r="M11" s="17"/>
    </row>
    <row r="12" spans="1:16" x14ac:dyDescent="0.2">
      <c r="A12" s="12"/>
      <c r="B12" s="70" t="s">
        <v>442</v>
      </c>
      <c r="C12" s="142">
        <f t="shared" ref="C12:K12" si="0">SUM(C9:C9)</f>
        <v>4741</v>
      </c>
      <c r="D12" s="19">
        <f t="shared" si="0"/>
        <v>2715</v>
      </c>
      <c r="E12" s="19">
        <f t="shared" si="0"/>
        <v>5850</v>
      </c>
      <c r="F12" s="19">
        <f>+F9</f>
        <v>6360</v>
      </c>
      <c r="G12" s="19">
        <f>+G9</f>
        <v>6040</v>
      </c>
      <c r="H12" s="19">
        <f>+H9</f>
        <v>5440</v>
      </c>
      <c r="I12" s="19">
        <f>SUM(I9:I10)</f>
        <v>6955</v>
      </c>
      <c r="J12" s="20">
        <f>SUM(J9:J11)</f>
        <v>7000</v>
      </c>
      <c r="K12" s="19">
        <f t="shared" si="0"/>
        <v>3845</v>
      </c>
      <c r="L12" s="20">
        <f>SUM(L9:L11)</f>
        <v>7000</v>
      </c>
      <c r="M12" s="20">
        <f>SUM(M9:M9)</f>
        <v>0</v>
      </c>
    </row>
    <row r="13" spans="1:16" x14ac:dyDescent="0.2">
      <c r="A13" s="12"/>
      <c r="B13" s="213"/>
      <c r="C13" s="811"/>
      <c r="D13" s="32"/>
      <c r="E13" s="32"/>
      <c r="F13" s="32"/>
      <c r="G13" s="32"/>
      <c r="H13" s="32"/>
      <c r="I13" s="32"/>
      <c r="J13" s="33"/>
      <c r="K13" s="32"/>
      <c r="L13" s="33"/>
      <c r="M13" s="33"/>
    </row>
    <row r="14" spans="1:16" ht="13.5" thickBot="1" x14ac:dyDescent="0.25">
      <c r="A14" s="12">
        <v>5800</v>
      </c>
      <c r="B14" s="69" t="s">
        <v>272</v>
      </c>
      <c r="C14" s="141"/>
      <c r="D14" s="16"/>
      <c r="E14" s="16"/>
      <c r="F14" s="16"/>
      <c r="G14" s="16"/>
      <c r="H14" s="16"/>
      <c r="I14" s="16"/>
      <c r="J14" s="45"/>
      <c r="K14" s="16"/>
      <c r="L14" s="45"/>
      <c r="M14" s="45"/>
    </row>
    <row r="15" spans="1:16" x14ac:dyDescent="0.2">
      <c r="A15" s="12"/>
      <c r="B15" s="70" t="s">
        <v>131</v>
      </c>
      <c r="C15" s="142">
        <f t="shared" ref="C15:L15" si="1">+C14</f>
        <v>0</v>
      </c>
      <c r="D15" s="19">
        <f t="shared" si="1"/>
        <v>0</v>
      </c>
      <c r="E15" s="19">
        <f>+E14</f>
        <v>0</v>
      </c>
      <c r="F15" s="19"/>
      <c r="G15" s="19"/>
      <c r="H15" s="19"/>
      <c r="I15" s="19">
        <f>+I14</f>
        <v>0</v>
      </c>
      <c r="J15" s="20">
        <f t="shared" ref="J15" si="2">+J14</f>
        <v>0</v>
      </c>
      <c r="K15" s="19">
        <f t="shared" si="1"/>
        <v>0</v>
      </c>
      <c r="L15" s="20">
        <f t="shared" si="1"/>
        <v>0</v>
      </c>
      <c r="M15" s="20">
        <f>+M14</f>
        <v>0</v>
      </c>
    </row>
    <row r="16" spans="1:16" x14ac:dyDescent="0.2">
      <c r="A16" s="12"/>
      <c r="B16" s="69"/>
      <c r="C16" s="140"/>
      <c r="D16" s="14"/>
      <c r="E16" s="14"/>
      <c r="F16" s="14"/>
      <c r="G16" s="14"/>
      <c r="H16" s="14"/>
      <c r="I16" s="14"/>
      <c r="J16" s="15"/>
      <c r="K16" s="14"/>
      <c r="L16" s="15"/>
      <c r="M16" s="15"/>
    </row>
    <row r="17" spans="1:16" ht="13.5" thickBot="1" x14ac:dyDescent="0.25">
      <c r="A17" s="21"/>
      <c r="B17" s="825" t="s">
        <v>457</v>
      </c>
      <c r="C17" s="816">
        <f t="shared" ref="C17:L17" si="3">+C15+C12</f>
        <v>4741</v>
      </c>
      <c r="D17" s="23">
        <f t="shared" si="3"/>
        <v>2715</v>
      </c>
      <c r="E17" s="23">
        <f>+E15+E12</f>
        <v>5850</v>
      </c>
      <c r="F17" s="23">
        <f>+F15+F12</f>
        <v>6360</v>
      </c>
      <c r="G17" s="23">
        <f>+G15+G12</f>
        <v>6040</v>
      </c>
      <c r="H17" s="23">
        <f>+H15+H12</f>
        <v>5440</v>
      </c>
      <c r="I17" s="23">
        <f>+I15+I12</f>
        <v>6955</v>
      </c>
      <c r="J17" s="24">
        <f t="shared" ref="J17" si="4">+J15+J12</f>
        <v>7000</v>
      </c>
      <c r="K17" s="23">
        <f t="shared" si="3"/>
        <v>3845</v>
      </c>
      <c r="L17" s="24">
        <f t="shared" si="3"/>
        <v>7000</v>
      </c>
      <c r="M17" s="24">
        <f>+L17</f>
        <v>7000</v>
      </c>
    </row>
    <row r="18" spans="1:16" ht="13.5" thickTop="1" x14ac:dyDescent="0.2">
      <c r="A18" s="4"/>
      <c r="B18" s="826"/>
      <c r="C18" s="26"/>
      <c r="D18" s="26"/>
      <c r="E18" s="26"/>
      <c r="F18" s="26"/>
      <c r="G18" s="26"/>
      <c r="H18" s="26"/>
      <c r="I18" s="26"/>
      <c r="J18" s="26"/>
      <c r="K18" s="27"/>
      <c r="L18" s="26"/>
      <c r="M18" s="25"/>
      <c r="N18" s="27"/>
      <c r="O18" s="27"/>
      <c r="P18" s="27"/>
    </row>
    <row r="19" spans="1:16" ht="13.5" thickBot="1" x14ac:dyDescent="0.25">
      <c r="A19" s="72"/>
      <c r="B19" s="4"/>
      <c r="C19" s="25"/>
      <c r="D19" s="25"/>
      <c r="E19" s="25"/>
      <c r="F19" s="25"/>
      <c r="G19" s="25"/>
      <c r="H19" s="25"/>
      <c r="I19" s="25"/>
      <c r="J19" s="25"/>
      <c r="K19" s="29"/>
      <c r="L19" s="25"/>
      <c r="M19" s="29"/>
      <c r="N19" s="29"/>
      <c r="O19" s="29"/>
      <c r="P19" s="29"/>
    </row>
    <row r="20" spans="1:16" ht="13.5" thickTop="1" x14ac:dyDescent="0.2">
      <c r="A20" s="517"/>
      <c r="B20" s="518"/>
      <c r="C20" s="519" t="s">
        <v>122</v>
      </c>
      <c r="D20" s="520" t="s">
        <v>122</v>
      </c>
      <c r="E20" s="520" t="s">
        <v>122</v>
      </c>
      <c r="H20" s="521" t="s">
        <v>542</v>
      </c>
      <c r="I20" s="522" t="s">
        <v>9</v>
      </c>
      <c r="J20" s="523" t="s">
        <v>1073</v>
      </c>
      <c r="K20" s="522" t="s">
        <v>682</v>
      </c>
      <c r="L20" s="524"/>
      <c r="M20" s="523"/>
      <c r="N20" s="29"/>
      <c r="O20" s="29"/>
      <c r="P20" s="29"/>
    </row>
    <row r="21" spans="1:16" ht="13.5" thickBot="1" x14ac:dyDescent="0.25">
      <c r="A21" s="525" t="s">
        <v>123</v>
      </c>
      <c r="B21" s="526"/>
      <c r="C21" s="527" t="s">
        <v>334</v>
      </c>
      <c r="D21" s="527" t="s">
        <v>718</v>
      </c>
      <c r="E21" s="528" t="s">
        <v>734</v>
      </c>
      <c r="H21" s="529" t="s">
        <v>899</v>
      </c>
      <c r="I21" s="529" t="s">
        <v>900</v>
      </c>
      <c r="J21" s="528" t="s">
        <v>1075</v>
      </c>
      <c r="K21" s="530" t="s">
        <v>1075</v>
      </c>
      <c r="L21" s="531" t="s">
        <v>1074</v>
      </c>
      <c r="M21" s="529"/>
      <c r="N21" s="29"/>
      <c r="O21" s="29"/>
      <c r="P21" s="29"/>
    </row>
    <row r="22" spans="1:16" ht="13.5" thickTop="1" x14ac:dyDescent="0.2">
      <c r="A22" s="548"/>
      <c r="B22" s="549"/>
      <c r="C22" s="536"/>
      <c r="D22" s="536"/>
      <c r="E22" s="536"/>
      <c r="H22" s="537"/>
      <c r="I22" s="536"/>
      <c r="J22" s="572"/>
      <c r="K22" s="545"/>
      <c r="L22" s="538"/>
      <c r="M22" s="539"/>
      <c r="N22" s="29"/>
      <c r="O22" s="29"/>
      <c r="P22" s="29"/>
    </row>
    <row r="23" spans="1:16" ht="13.5" thickBot="1" x14ac:dyDescent="0.25">
      <c r="A23" s="551">
        <v>5241</v>
      </c>
      <c r="B23" s="540" t="s">
        <v>191</v>
      </c>
      <c r="C23" s="542">
        <v>4741</v>
      </c>
      <c r="D23" s="542">
        <v>2715</v>
      </c>
      <c r="E23" s="544">
        <v>5850</v>
      </c>
      <c r="H23" s="543">
        <f>+J9</f>
        <v>7000</v>
      </c>
      <c r="I23" s="569">
        <f>+L9</f>
        <v>7000</v>
      </c>
      <c r="J23" s="572">
        <f>+I23-H23</f>
        <v>0</v>
      </c>
      <c r="K23" s="545" t="str">
        <f>IF(H23+I23&lt;&gt;0,IF(H23&lt;&gt;0,IF(J23&lt;&gt;0,ROUND((+J23/H23),4),""),1),"")</f>
        <v/>
      </c>
      <c r="L23" s="538"/>
      <c r="M23" s="539"/>
      <c r="N23" s="29"/>
      <c r="O23" s="29"/>
      <c r="P23" s="29"/>
    </row>
    <row r="24" spans="1:16" x14ac:dyDescent="0.2">
      <c r="A24" s="551">
        <v>5400</v>
      </c>
      <c r="B24" s="540" t="s">
        <v>1045</v>
      </c>
      <c r="C24" s="550"/>
      <c r="D24" s="550"/>
      <c r="E24" s="544"/>
      <c r="H24" s="543"/>
      <c r="I24" s="569">
        <f>+L10</f>
        <v>0</v>
      </c>
      <c r="J24" s="572">
        <f>+I24-H24</f>
        <v>0</v>
      </c>
      <c r="K24" s="545" t="str">
        <f>IF(H24+I24&lt;&gt;0,IF(H24&lt;&gt;0,IF(J24&lt;&gt;0,ROUND((+J24/H24),4),""),1),"")</f>
        <v/>
      </c>
      <c r="L24" s="538"/>
      <c r="M24" s="539"/>
      <c r="N24" s="29"/>
      <c r="O24" s="29"/>
      <c r="P24" s="29"/>
    </row>
    <row r="25" spans="1:16" x14ac:dyDescent="0.2">
      <c r="A25" s="574"/>
      <c r="B25" s="574"/>
      <c r="C25" s="575"/>
      <c r="D25" s="575"/>
      <c r="E25" s="575"/>
      <c r="H25" s="575"/>
      <c r="I25" s="575"/>
      <c r="J25" s="575"/>
      <c r="K25" s="576"/>
      <c r="L25" s="575"/>
      <c r="M25" s="575"/>
      <c r="N25" s="29"/>
      <c r="O25" s="29"/>
      <c r="P25" s="29"/>
    </row>
    <row r="26" spans="1:16" x14ac:dyDescent="0.2">
      <c r="A26" s="4"/>
      <c r="B26" s="4"/>
      <c r="C26" s="25"/>
      <c r="D26" s="25"/>
      <c r="E26" s="25"/>
      <c r="F26" s="25"/>
      <c r="G26" s="25"/>
      <c r="H26" s="25"/>
      <c r="I26" s="25"/>
      <c r="J26" s="25"/>
      <c r="K26" s="29"/>
      <c r="L26" s="25"/>
      <c r="M26" s="25"/>
      <c r="N26" s="29"/>
      <c r="O26" s="29"/>
      <c r="P26" s="29"/>
    </row>
    <row r="27" spans="1:16" x14ac:dyDescent="0.2">
      <c r="A27" s="4"/>
      <c r="B27" s="4" t="s">
        <v>1600</v>
      </c>
      <c r="C27" s="25"/>
      <c r="D27" s="25"/>
      <c r="E27" s="25"/>
      <c r="F27" s="25"/>
      <c r="G27" s="25"/>
      <c r="H27" s="849">
        <f>SUM(H23:H26)</f>
        <v>7000</v>
      </c>
      <c r="I27" s="849">
        <f>SUM(I23:I26)</f>
        <v>7000</v>
      </c>
      <c r="J27" s="208">
        <f t="shared" ref="J27" si="5">+I27-H27</f>
        <v>0</v>
      </c>
      <c r="K27" s="850" t="str">
        <f t="shared" ref="K27" si="6">IF(H27+I27&lt;&gt;0,IF(H27&lt;&gt;0,IF(J27&lt;&gt;0,ROUND((+J27/H27),4),""),1),"")</f>
        <v/>
      </c>
      <c r="L27" s="25"/>
      <c r="M27" s="25"/>
      <c r="N27" s="29"/>
      <c r="O27" s="29"/>
      <c r="P27" s="29"/>
    </row>
    <row r="28" spans="1:16" x14ac:dyDescent="0.2">
      <c r="A28" s="4"/>
      <c r="B28" s="4"/>
      <c r="C28" s="25"/>
      <c r="D28" s="25"/>
      <c r="E28" s="25"/>
      <c r="F28" s="25"/>
      <c r="G28" s="25"/>
      <c r="H28" s="25"/>
      <c r="I28" s="25"/>
      <c r="J28" s="25"/>
      <c r="K28" s="29"/>
      <c r="L28" s="25"/>
      <c r="M28" s="25"/>
      <c r="N28" s="29"/>
      <c r="O28" s="29"/>
      <c r="P28" s="29"/>
    </row>
    <row r="29" spans="1:16" x14ac:dyDescent="0.2">
      <c r="A29" s="4"/>
      <c r="B29" s="4"/>
      <c r="C29" s="25"/>
      <c r="D29" s="25"/>
      <c r="E29" s="25"/>
      <c r="F29" s="25"/>
      <c r="G29" s="25"/>
      <c r="H29" s="25"/>
      <c r="I29" s="25"/>
      <c r="J29" s="25"/>
      <c r="K29" s="29"/>
      <c r="L29" s="25"/>
      <c r="M29" s="25"/>
      <c r="N29" s="29"/>
      <c r="O29" s="29"/>
      <c r="P29" s="29"/>
    </row>
    <row r="30" spans="1:16" x14ac:dyDescent="0.2">
      <c r="A30" s="4"/>
      <c r="B30" s="4"/>
      <c r="C30" s="25"/>
      <c r="D30" s="25"/>
      <c r="E30" s="25"/>
      <c r="F30" s="25"/>
      <c r="G30" s="25"/>
      <c r="H30" s="25"/>
      <c r="I30" s="25"/>
      <c r="J30" s="25"/>
      <c r="K30" s="29"/>
      <c r="L30" s="25"/>
      <c r="M30" s="25"/>
      <c r="N30" s="29"/>
      <c r="O30" s="29"/>
      <c r="P30" s="29"/>
    </row>
    <row r="31" spans="1:16" x14ac:dyDescent="0.2">
      <c r="A31" s="4"/>
      <c r="B31" s="4"/>
      <c r="C31" s="25"/>
      <c r="D31" s="25"/>
      <c r="E31" s="25"/>
      <c r="F31" s="25"/>
      <c r="G31" s="25"/>
      <c r="H31" s="25"/>
      <c r="I31" s="25"/>
      <c r="J31" s="25"/>
      <c r="K31" s="29"/>
      <c r="L31" s="25"/>
      <c r="M31" s="25"/>
      <c r="N31" s="29"/>
      <c r="O31" s="29"/>
      <c r="P31" s="29"/>
    </row>
    <row r="32" spans="1:16" x14ac:dyDescent="0.2">
      <c r="A32" s="4"/>
      <c r="B32" s="4"/>
      <c r="C32" s="25"/>
      <c r="D32" s="25"/>
      <c r="E32" s="25"/>
      <c r="F32" s="25"/>
      <c r="G32" s="25"/>
      <c r="H32" s="25"/>
      <c r="I32" s="25"/>
      <c r="J32" s="25"/>
      <c r="K32" s="29"/>
      <c r="L32" s="25"/>
      <c r="M32" s="25"/>
      <c r="N32" s="29"/>
      <c r="O32" s="29"/>
      <c r="P32" s="29"/>
    </row>
    <row r="33" spans="1:16" x14ac:dyDescent="0.2">
      <c r="A33" s="4"/>
      <c r="B33" s="4"/>
      <c r="C33" s="25"/>
      <c r="D33" s="25"/>
      <c r="E33" s="25"/>
      <c r="F33" s="25"/>
      <c r="G33" s="25"/>
      <c r="H33" s="25"/>
      <c r="I33" s="25"/>
      <c r="J33" s="25"/>
      <c r="K33" s="29"/>
      <c r="L33" s="25"/>
      <c r="M33" s="25"/>
      <c r="N33" s="29"/>
      <c r="O33" s="29"/>
      <c r="P33" s="29"/>
    </row>
    <row r="34" spans="1:16" x14ac:dyDescent="0.2">
      <c r="A34" s="4"/>
      <c r="B34" s="4"/>
      <c r="C34" s="25"/>
      <c r="D34" s="25"/>
      <c r="E34" s="25"/>
      <c r="F34" s="25"/>
      <c r="G34" s="25"/>
      <c r="H34" s="25"/>
      <c r="I34" s="25"/>
      <c r="J34" s="25"/>
      <c r="K34" s="29"/>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9"/>
      <c r="L42" s="25"/>
      <c r="M42" s="25"/>
      <c r="N42" s="29"/>
      <c r="O42" s="29"/>
      <c r="P42" s="29"/>
    </row>
    <row r="43" spans="1:16" x14ac:dyDescent="0.2">
      <c r="A43" s="4"/>
      <c r="B43" s="4"/>
      <c r="C43" s="25"/>
      <c r="D43" s="25"/>
      <c r="E43" s="25"/>
      <c r="F43" s="25"/>
      <c r="G43" s="25"/>
      <c r="H43" s="25"/>
      <c r="I43" s="25"/>
      <c r="J43" s="25"/>
      <c r="K43" s="29"/>
      <c r="L43" s="25"/>
      <c r="M43" s="25"/>
      <c r="N43" s="29"/>
      <c r="O43" s="29"/>
      <c r="P43" s="29"/>
    </row>
    <row r="44" spans="1:16" x14ac:dyDescent="0.2">
      <c r="A44" s="4"/>
      <c r="B44" s="4"/>
      <c r="C44" s="25"/>
      <c r="D44" s="25"/>
      <c r="E44" s="25"/>
      <c r="F44" s="25"/>
      <c r="G44" s="25"/>
      <c r="H44" s="25"/>
      <c r="I44" s="25"/>
      <c r="J44" s="25"/>
      <c r="K44" s="29"/>
      <c r="L44" s="25"/>
      <c r="M44" s="25"/>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c r="C46" s="25"/>
      <c r="D46" s="25"/>
      <c r="E46" s="25"/>
      <c r="F46" s="25"/>
      <c r="G46" s="25"/>
      <c r="H46" s="25"/>
      <c r="I46" s="25"/>
      <c r="J46" s="25"/>
      <c r="K46" s="29"/>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29"/>
      <c r="L50" s="25"/>
      <c r="M50" s="25"/>
      <c r="N50" s="29"/>
      <c r="O50" s="29"/>
      <c r="P50" s="29"/>
    </row>
    <row r="51" spans="1:16" x14ac:dyDescent="0.2">
      <c r="A51" s="4"/>
      <c r="B51" s="4"/>
      <c r="C51" s="25"/>
      <c r="D51" s="25"/>
      <c r="E51" s="25"/>
      <c r="F51" s="25"/>
      <c r="G51" s="25"/>
      <c r="H51" s="25"/>
      <c r="I51" s="25"/>
      <c r="J51" s="25"/>
      <c r="K51" s="29"/>
      <c r="L51" s="25"/>
      <c r="M51" s="25"/>
      <c r="N51" s="29"/>
      <c r="O51" s="29"/>
      <c r="P51" s="29"/>
    </row>
    <row r="52" spans="1:16" x14ac:dyDescent="0.2">
      <c r="A52" s="4"/>
      <c r="B52" s="4"/>
      <c r="C52" s="25"/>
      <c r="D52" s="25"/>
      <c r="E52" s="25"/>
      <c r="F52" s="25"/>
      <c r="G52" s="25"/>
      <c r="H52" s="25"/>
      <c r="I52" s="25"/>
      <c r="J52" s="25"/>
      <c r="K52" s="29"/>
      <c r="L52" s="25"/>
      <c r="M52" s="25"/>
      <c r="N52" s="29"/>
      <c r="O52" s="29"/>
      <c r="P52" s="29"/>
    </row>
    <row r="53" spans="1:16" x14ac:dyDescent="0.2">
      <c r="A53" s="4"/>
      <c r="B53" s="4"/>
      <c r="C53" s="25"/>
      <c r="D53" s="25"/>
      <c r="E53" s="25"/>
      <c r="F53" s="25"/>
      <c r="G53" s="25"/>
      <c r="H53" s="25"/>
      <c r="I53" s="25"/>
      <c r="J53" s="25"/>
      <c r="K53" s="29"/>
      <c r="L53" s="25"/>
      <c r="M53" s="25"/>
      <c r="N53" s="29"/>
      <c r="O53" s="29"/>
      <c r="P53" s="29"/>
    </row>
    <row r="54" spans="1:16" x14ac:dyDescent="0.2">
      <c r="A54" s="4"/>
      <c r="B54" s="4"/>
      <c r="C54" s="25"/>
      <c r="D54" s="25"/>
      <c r="E54" s="25"/>
      <c r="F54" s="25"/>
      <c r="G54" s="25"/>
      <c r="H54" s="25"/>
      <c r="I54" s="25"/>
      <c r="J54" s="25"/>
      <c r="K54" s="29"/>
      <c r="L54" s="25"/>
      <c r="M54" s="25"/>
      <c r="N54" s="29"/>
      <c r="O54" s="29"/>
      <c r="P54" s="29"/>
    </row>
    <row r="55" spans="1:16" x14ac:dyDescent="0.2">
      <c r="A55" s="4"/>
      <c r="B55" s="4"/>
      <c r="C55" s="25"/>
      <c r="D55" s="25"/>
      <c r="E55" s="25"/>
      <c r="F55" s="25"/>
      <c r="G55" s="25"/>
      <c r="H55" s="25"/>
      <c r="I55" s="25"/>
      <c r="J55" s="25"/>
      <c r="K55" s="29"/>
      <c r="L55" s="25"/>
      <c r="M55" s="25"/>
      <c r="N55" s="29"/>
      <c r="O55" s="29"/>
      <c r="P55" s="29"/>
    </row>
    <row r="56" spans="1:16" x14ac:dyDescent="0.2">
      <c r="A56" s="4"/>
      <c r="B56" s="4"/>
      <c r="C56" s="25"/>
      <c r="D56" s="25"/>
      <c r="E56" s="25"/>
      <c r="F56" s="25"/>
      <c r="G56" s="25"/>
      <c r="H56" s="25"/>
      <c r="I56" s="25"/>
      <c r="J56" s="25"/>
      <c r="K56" s="29"/>
      <c r="L56" s="25"/>
      <c r="M56" s="25"/>
      <c r="N56" s="29"/>
      <c r="O56" s="29"/>
      <c r="P56" s="29"/>
    </row>
    <row r="57" spans="1:16" x14ac:dyDescent="0.2">
      <c r="A57" s="4"/>
      <c r="B57" s="4"/>
      <c r="C57" s="25"/>
      <c r="D57" s="25"/>
      <c r="E57" s="25"/>
      <c r="F57" s="25"/>
      <c r="G57" s="25"/>
      <c r="H57" s="25"/>
      <c r="I57" s="25"/>
      <c r="J57" s="25"/>
      <c r="K57" s="29"/>
      <c r="L57" s="25"/>
      <c r="M57" s="25"/>
      <c r="N57" s="29"/>
      <c r="O57" s="29"/>
      <c r="P57" s="29"/>
    </row>
    <row r="58" spans="1:16" x14ac:dyDescent="0.2">
      <c r="A58" s="4"/>
      <c r="B58" s="4"/>
      <c r="C58" s="25"/>
      <c r="D58" s="25"/>
      <c r="E58" s="25"/>
      <c r="F58" s="25"/>
      <c r="G58" s="25"/>
      <c r="H58" s="25"/>
      <c r="I58" s="25"/>
      <c r="J58" s="25"/>
      <c r="K58" s="29"/>
      <c r="L58" s="25"/>
      <c r="M58" s="25"/>
      <c r="N58" s="29"/>
      <c r="O58" s="29"/>
      <c r="P58" s="29"/>
    </row>
    <row r="59" spans="1:16" x14ac:dyDescent="0.2">
      <c r="A59" s="4"/>
      <c r="B59" s="4"/>
      <c r="C59" s="25"/>
      <c r="D59" s="25"/>
      <c r="E59" s="25"/>
      <c r="F59" s="25"/>
      <c r="G59" s="25"/>
      <c r="H59" s="25"/>
      <c r="I59" s="25"/>
      <c r="J59" s="25"/>
      <c r="K59" s="29"/>
      <c r="L59" s="25"/>
      <c r="M59" s="25"/>
      <c r="N59" s="29"/>
      <c r="O59" s="29"/>
      <c r="P59" s="29"/>
    </row>
    <row r="60" spans="1:16" x14ac:dyDescent="0.2">
      <c r="A60" s="4"/>
      <c r="B60" s="4"/>
      <c r="C60" s="25"/>
      <c r="D60" s="25"/>
      <c r="E60" s="25"/>
      <c r="F60" s="25"/>
      <c r="G60" s="25"/>
      <c r="H60" s="25"/>
      <c r="I60" s="25"/>
      <c r="J60" s="25"/>
      <c r="K60" s="29"/>
      <c r="L60" s="25"/>
      <c r="M60" s="25"/>
      <c r="N60" s="29"/>
      <c r="O60" s="29"/>
      <c r="P60" s="29"/>
    </row>
    <row r="61" spans="1:16" x14ac:dyDescent="0.2">
      <c r="A61" s="4"/>
      <c r="B61" s="4"/>
      <c r="C61" s="25"/>
      <c r="D61" s="25"/>
      <c r="E61" s="25"/>
      <c r="F61" s="25"/>
      <c r="G61" s="25"/>
      <c r="H61" s="25"/>
      <c r="I61" s="25"/>
      <c r="J61" s="25"/>
      <c r="K61" s="4"/>
      <c r="L61" s="25"/>
      <c r="M61" s="25"/>
      <c r="N61" s="4"/>
      <c r="O61" s="4"/>
      <c r="P61" s="4"/>
    </row>
    <row r="62" spans="1:16" x14ac:dyDescent="0.2">
      <c r="A62" s="4"/>
      <c r="B62" s="4"/>
      <c r="C62" s="25"/>
      <c r="D62" s="25"/>
      <c r="E62" s="25"/>
      <c r="F62" s="25"/>
      <c r="G62" s="25"/>
      <c r="H62" s="25"/>
      <c r="I62" s="25"/>
      <c r="J62" s="25"/>
      <c r="K62" s="4"/>
      <c r="L62" s="25"/>
      <c r="M62" s="25"/>
      <c r="N62" s="4"/>
      <c r="O62" s="4"/>
      <c r="P62" s="4"/>
    </row>
    <row r="63" spans="1:16" x14ac:dyDescent="0.2">
      <c r="A63" s="4"/>
      <c r="B63" s="4"/>
      <c r="C63" s="25"/>
      <c r="D63" s="25"/>
      <c r="E63" s="25"/>
      <c r="F63" s="25"/>
      <c r="G63" s="25"/>
      <c r="H63" s="25"/>
      <c r="I63" s="25"/>
      <c r="J63" s="25"/>
      <c r="K63" s="4"/>
      <c r="L63" s="25"/>
      <c r="M63" s="25"/>
      <c r="N63" s="4"/>
      <c r="O63" s="4"/>
      <c r="P63" s="4"/>
    </row>
    <row r="64" spans="1:16" x14ac:dyDescent="0.2">
      <c r="A64" s="4"/>
      <c r="B64" s="4"/>
      <c r="C64" s="25"/>
      <c r="D64" s="25"/>
      <c r="E64" s="25"/>
      <c r="F64" s="25"/>
      <c r="G64" s="25"/>
      <c r="H64" s="25"/>
      <c r="I64" s="25"/>
      <c r="J64" s="25"/>
      <c r="K64" s="4"/>
      <c r="L64" s="25"/>
      <c r="M64" s="25"/>
      <c r="N64" s="4"/>
      <c r="O64" s="4"/>
      <c r="P64" s="4"/>
    </row>
    <row r="65" spans="1:16" x14ac:dyDescent="0.2">
      <c r="A65" s="4"/>
      <c r="B65" s="4"/>
      <c r="C65" s="25"/>
      <c r="D65" s="25"/>
      <c r="E65" s="25"/>
      <c r="F65" s="25"/>
      <c r="G65" s="25"/>
      <c r="H65" s="25"/>
      <c r="I65" s="25"/>
      <c r="J65" s="25"/>
      <c r="K65" s="4"/>
      <c r="L65" s="25"/>
      <c r="M65" s="25"/>
      <c r="N65" s="4"/>
      <c r="O65" s="4"/>
      <c r="P65" s="4"/>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A123" s="4"/>
      <c r="B123" s="4"/>
      <c r="C123" s="25"/>
      <c r="D123" s="25"/>
      <c r="E123" s="25"/>
      <c r="F123" s="25"/>
      <c r="G123" s="25"/>
      <c r="H123" s="25"/>
      <c r="I123" s="25"/>
      <c r="J123" s="25"/>
      <c r="K123" s="4"/>
      <c r="L123" s="25"/>
      <c r="M123" s="25"/>
      <c r="N123" s="4"/>
      <c r="O123" s="4"/>
      <c r="P123" s="4"/>
    </row>
    <row r="124" spans="1:16" x14ac:dyDescent="0.2">
      <c r="A124" s="4"/>
      <c r="B124" s="4"/>
      <c r="C124" s="25"/>
      <c r="D124" s="25"/>
      <c r="E124" s="25"/>
      <c r="F124" s="25"/>
      <c r="G124" s="25"/>
      <c r="H124" s="25"/>
      <c r="I124" s="25"/>
      <c r="J124" s="25"/>
      <c r="K124" s="4"/>
      <c r="L124" s="25"/>
      <c r="M124" s="25"/>
      <c r="N124" s="4"/>
      <c r="O124" s="4"/>
      <c r="P124" s="4"/>
    </row>
    <row r="125" spans="1:16" x14ac:dyDescent="0.2">
      <c r="A125" s="4"/>
      <c r="B125" s="4"/>
      <c r="C125" s="25"/>
      <c r="D125" s="25"/>
      <c r="E125" s="25"/>
      <c r="F125" s="25"/>
      <c r="G125" s="25"/>
      <c r="H125" s="25"/>
      <c r="I125" s="25"/>
      <c r="J125" s="25"/>
      <c r="K125" s="4"/>
      <c r="L125" s="25"/>
      <c r="M125" s="25"/>
      <c r="N125" s="4"/>
      <c r="O125" s="4"/>
      <c r="P125" s="4"/>
    </row>
    <row r="126" spans="1:16" x14ac:dyDescent="0.2">
      <c r="A126" s="4"/>
      <c r="B126" s="4"/>
      <c r="C126" s="25"/>
      <c r="D126" s="25"/>
      <c r="E126" s="25"/>
      <c r="F126" s="25"/>
      <c r="G126" s="25"/>
      <c r="H126" s="25"/>
      <c r="I126" s="25"/>
      <c r="J126" s="25"/>
      <c r="K126" s="4"/>
      <c r="L126" s="25"/>
      <c r="M126" s="25"/>
      <c r="N126" s="4"/>
      <c r="O126" s="4"/>
      <c r="P126" s="4"/>
    </row>
    <row r="127" spans="1:16" x14ac:dyDescent="0.2">
      <c r="A127" s="4"/>
      <c r="B127" s="4"/>
      <c r="C127" s="25"/>
      <c r="D127" s="25"/>
      <c r="E127" s="25"/>
      <c r="F127" s="25"/>
      <c r="G127" s="25"/>
      <c r="H127" s="25"/>
      <c r="I127" s="25"/>
      <c r="J127" s="25"/>
      <c r="K127" s="4"/>
      <c r="L127" s="25"/>
      <c r="M127" s="25"/>
      <c r="N127" s="4"/>
      <c r="O127" s="4"/>
      <c r="P127" s="4"/>
    </row>
    <row r="128" spans="1:16" x14ac:dyDescent="0.2">
      <c r="A128" s="4"/>
      <c r="B128" s="4"/>
      <c r="C128" s="25"/>
      <c r="D128" s="25"/>
      <c r="E128" s="25"/>
      <c r="F128" s="25"/>
      <c r="G128" s="25"/>
      <c r="H128" s="25"/>
      <c r="I128" s="25"/>
      <c r="J128" s="25"/>
      <c r="K128" s="4"/>
      <c r="L128" s="25"/>
      <c r="M128" s="25"/>
      <c r="N128" s="4"/>
      <c r="O128" s="4"/>
      <c r="P128" s="4"/>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row r="178" spans="3:3" x14ac:dyDescent="0.2">
      <c r="C178" s="121"/>
    </row>
    <row r="179" spans="3:3" x14ac:dyDescent="0.2">
      <c r="C179" s="121"/>
    </row>
    <row r="180" spans="3:3" x14ac:dyDescent="0.2">
      <c r="C180" s="121"/>
    </row>
    <row r="181" spans="3:3" x14ac:dyDescent="0.2">
      <c r="C181"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horizontalDpi="300" verticalDpi="300" r:id="rId1"/>
  <headerFooter alignWithMargins="0">
    <oddFooter>&amp;L&amp;D     &amp;T&amp;C&amp;F&amp;R&amp;A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5"/>
  <sheetViews>
    <sheetView zoomScale="85" workbookViewId="0">
      <pane ySplit="7" topLeftCell="A31" activePane="bottomLeft" state="frozen"/>
      <selection activeCell="K15" sqref="K15"/>
      <selection pane="bottomLeft" activeCell="J47" sqref="J47"/>
    </sheetView>
  </sheetViews>
  <sheetFormatPr defaultRowHeight="12.75" x14ac:dyDescent="0.2"/>
  <cols>
    <col min="1" max="1" width="11.1640625" customWidth="1"/>
    <col min="2" max="2" width="36.6640625" customWidth="1"/>
    <col min="3" max="3" width="14.5" style="1" hidden="1" customWidth="1"/>
    <col min="4" max="7" width="14.5" style="121" hidden="1" customWidth="1"/>
    <col min="8" max="10" width="14.5" style="121" customWidth="1"/>
    <col min="11" max="11" width="14.5" customWidth="1"/>
    <col min="12" max="14" width="14.5" style="1" customWidth="1"/>
    <col min="15" max="17" width="14.5" customWidth="1"/>
    <col min="18" max="18" width="14.6640625" style="2" customWidth="1"/>
  </cols>
  <sheetData>
    <row r="1" spans="1:17" x14ac:dyDescent="0.2">
      <c r="A1" s="410" t="s">
        <v>1013</v>
      </c>
      <c r="B1" s="410" t="s">
        <v>1418</v>
      </c>
      <c r="N1"/>
    </row>
    <row r="2" spans="1:17" ht="15" x14ac:dyDescent="0.25">
      <c r="A2" s="49" t="s">
        <v>258</v>
      </c>
      <c r="B2" s="49"/>
      <c r="E2" s="153"/>
      <c r="H2" s="153" t="s">
        <v>252</v>
      </c>
      <c r="I2" s="153"/>
      <c r="J2" s="153"/>
      <c r="K2" s="67" t="s">
        <v>303</v>
      </c>
      <c r="M2" s="50" t="s">
        <v>492</v>
      </c>
    </row>
    <row r="3" spans="1:17" ht="13.5" thickBot="1" x14ac:dyDescent="0.25">
      <c r="A3" s="4"/>
      <c r="B3" s="4"/>
      <c r="C3" s="25"/>
      <c r="D3" s="25"/>
      <c r="E3" s="25"/>
      <c r="F3" s="25"/>
      <c r="G3" s="25"/>
      <c r="H3" s="25"/>
      <c r="I3" s="25"/>
      <c r="J3" s="25"/>
      <c r="K3" s="4"/>
      <c r="L3" s="25"/>
      <c r="M3" s="4"/>
      <c r="N3" s="4"/>
      <c r="Q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120"/>
      <c r="G5" s="94"/>
      <c r="H5" s="120"/>
      <c r="I5" s="318"/>
      <c r="J5" s="318"/>
      <c r="K5" s="120" t="s">
        <v>509</v>
      </c>
      <c r="L5" s="95" t="s">
        <v>7</v>
      </c>
      <c r="M5" s="209" t="s">
        <v>783</v>
      </c>
    </row>
    <row r="6" spans="1:17" x14ac:dyDescent="0.2">
      <c r="A6" s="93"/>
      <c r="B6" s="216"/>
      <c r="C6" s="137"/>
      <c r="D6" s="137"/>
      <c r="E6" s="137"/>
      <c r="F6" s="137"/>
      <c r="G6" s="137"/>
      <c r="H6" s="137"/>
      <c r="I6" s="95"/>
      <c r="J6" s="95"/>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7" ht="13.5" thickTop="1" x14ac:dyDescent="0.2">
      <c r="A8" s="10"/>
      <c r="B8" s="192"/>
      <c r="C8" s="139"/>
      <c r="D8" s="345"/>
      <c r="E8" s="345"/>
      <c r="F8" s="345"/>
      <c r="G8" s="345"/>
      <c r="H8" s="345"/>
      <c r="I8" s="345"/>
      <c r="J8" s="177"/>
      <c r="K8" s="68"/>
      <c r="L8" s="11"/>
      <c r="M8" s="11"/>
    </row>
    <row r="9" spans="1:17" x14ac:dyDescent="0.2">
      <c r="A9" s="12">
        <v>5111</v>
      </c>
      <c r="B9" s="69" t="s">
        <v>700</v>
      </c>
      <c r="C9" s="140">
        <v>62644</v>
      </c>
      <c r="D9" s="14">
        <f>129+62937</f>
        <v>63066</v>
      </c>
      <c r="E9" s="14">
        <v>64970</v>
      </c>
      <c r="F9" s="14">
        <v>66933</v>
      </c>
      <c r="G9" s="14">
        <v>68954</v>
      </c>
      <c r="H9" s="14">
        <v>69988</v>
      </c>
      <c r="I9" s="14">
        <v>73591.7</v>
      </c>
      <c r="J9" s="15">
        <v>71388</v>
      </c>
      <c r="K9" s="14">
        <v>30951.25</v>
      </c>
      <c r="L9" s="15">
        <f>ROUND(+K45,0)</f>
        <v>67610</v>
      </c>
      <c r="M9" s="15"/>
    </row>
    <row r="10" spans="1:17" x14ac:dyDescent="0.2">
      <c r="A10" s="12">
        <v>5113</v>
      </c>
      <c r="B10" s="69" t="s">
        <v>1052</v>
      </c>
      <c r="C10" s="140">
        <v>11965.6</v>
      </c>
      <c r="D10" s="14">
        <v>22300.3</v>
      </c>
      <c r="E10" s="14">
        <v>16105.72</v>
      </c>
      <c r="F10" s="14">
        <v>28573.13</v>
      </c>
      <c r="G10" s="14">
        <v>29302</v>
      </c>
      <c r="H10" s="14">
        <v>30485</v>
      </c>
      <c r="I10" s="14">
        <v>10876.31</v>
      </c>
      <c r="J10" s="15">
        <v>31395</v>
      </c>
      <c r="K10" s="14"/>
      <c r="L10" s="15">
        <f>ROUND((+K47),0)</f>
        <v>0</v>
      </c>
      <c r="M10" s="15"/>
    </row>
    <row r="11" spans="1:17" x14ac:dyDescent="0.2">
      <c r="A11" s="12">
        <v>5114</v>
      </c>
      <c r="B11" s="69" t="s">
        <v>737</v>
      </c>
      <c r="C11" s="140">
        <v>12727.84</v>
      </c>
      <c r="D11" s="14">
        <v>14529.42</v>
      </c>
      <c r="E11" s="14">
        <v>15036.46</v>
      </c>
      <c r="F11" s="14">
        <v>15806.8</v>
      </c>
      <c r="G11" s="14">
        <v>15361.4</v>
      </c>
      <c r="H11" s="14">
        <v>16774.490000000002</v>
      </c>
      <c r="I11" s="156">
        <v>17626.96</v>
      </c>
      <c r="J11" s="132">
        <v>18202</v>
      </c>
      <c r="K11" s="14">
        <v>11499.4</v>
      </c>
      <c r="L11" s="132">
        <f>ROUND(+K46,0)</f>
        <v>37941</v>
      </c>
      <c r="M11" s="132"/>
    </row>
    <row r="12" spans="1:17" x14ac:dyDescent="0.2">
      <c r="A12" s="12">
        <v>5116</v>
      </c>
      <c r="B12" s="69" t="s">
        <v>527</v>
      </c>
      <c r="C12" s="460">
        <v>1500</v>
      </c>
      <c r="D12" s="156">
        <v>1500</v>
      </c>
      <c r="E12" s="156">
        <v>1500</v>
      </c>
      <c r="F12" s="156">
        <v>1500</v>
      </c>
      <c r="G12" s="156">
        <v>1500</v>
      </c>
      <c r="H12" s="156">
        <v>1500</v>
      </c>
      <c r="I12" s="156">
        <v>1500</v>
      </c>
      <c r="J12" s="132">
        <v>1575</v>
      </c>
      <c r="K12" s="39">
        <v>750</v>
      </c>
      <c r="L12" s="132">
        <v>1575</v>
      </c>
      <c r="M12" s="132"/>
    </row>
    <row r="13" spans="1:17" x14ac:dyDescent="0.2">
      <c r="A13" s="12">
        <v>5117</v>
      </c>
      <c r="B13" s="69" t="s">
        <v>736</v>
      </c>
      <c r="C13" s="804">
        <v>500</v>
      </c>
      <c r="D13" s="244">
        <v>0</v>
      </c>
      <c r="E13" s="244">
        <v>500</v>
      </c>
      <c r="F13" s="244">
        <v>1000</v>
      </c>
      <c r="G13" s="244">
        <v>1000</v>
      </c>
      <c r="H13" s="244">
        <v>1000</v>
      </c>
      <c r="I13" s="244">
        <v>1000</v>
      </c>
      <c r="J13" s="135">
        <v>1050</v>
      </c>
      <c r="K13" s="14">
        <v>1000</v>
      </c>
      <c r="L13" s="135">
        <v>1050</v>
      </c>
      <c r="M13" s="135"/>
    </row>
    <row r="14" spans="1:17" hidden="1" x14ac:dyDescent="0.2">
      <c r="A14" s="12"/>
      <c r="B14" s="69" t="s">
        <v>381</v>
      </c>
      <c r="C14" s="804">
        <v>669.75</v>
      </c>
      <c r="D14" s="244">
        <v>672</v>
      </c>
      <c r="E14" s="244">
        <v>670</v>
      </c>
      <c r="F14" s="244"/>
      <c r="G14" s="244"/>
      <c r="H14" s="244"/>
      <c r="I14" s="244">
        <v>0</v>
      </c>
      <c r="J14" s="135"/>
      <c r="L14" s="135"/>
      <c r="M14" s="135"/>
    </row>
    <row r="15" spans="1:17" x14ac:dyDescent="0.2">
      <c r="A15" s="12"/>
      <c r="B15" s="69" t="s">
        <v>557</v>
      </c>
      <c r="C15" s="804">
        <v>1000</v>
      </c>
      <c r="D15" s="244">
        <v>1500</v>
      </c>
      <c r="E15" s="244">
        <v>1500</v>
      </c>
      <c r="F15" s="244">
        <v>1500</v>
      </c>
      <c r="G15" s="244">
        <v>1500</v>
      </c>
      <c r="H15" s="244">
        <v>1500</v>
      </c>
      <c r="I15" s="244">
        <v>1500</v>
      </c>
      <c r="J15" s="135">
        <v>1765</v>
      </c>
      <c r="K15" s="39">
        <v>882.5</v>
      </c>
      <c r="L15" s="135">
        <v>1765</v>
      </c>
      <c r="M15" s="135"/>
    </row>
    <row r="16" spans="1:17" x14ac:dyDescent="0.2">
      <c r="A16" s="12"/>
      <c r="B16" s="69" t="s">
        <v>525</v>
      </c>
      <c r="C16" s="804">
        <v>1000</v>
      </c>
      <c r="D16" s="244">
        <v>1500</v>
      </c>
      <c r="E16" s="244">
        <v>1500</v>
      </c>
      <c r="F16" s="244">
        <v>1500</v>
      </c>
      <c r="G16" s="244">
        <v>1500</v>
      </c>
      <c r="H16" s="244">
        <v>1500</v>
      </c>
      <c r="I16" s="244">
        <v>1500</v>
      </c>
      <c r="J16" s="135">
        <v>1605</v>
      </c>
      <c r="K16" s="39">
        <v>802.49</v>
      </c>
      <c r="L16" s="135">
        <v>1605</v>
      </c>
      <c r="M16" s="135"/>
    </row>
    <row r="17" spans="1:13" x14ac:dyDescent="0.2">
      <c r="A17" s="12">
        <v>5115</v>
      </c>
      <c r="B17" s="69" t="s">
        <v>526</v>
      </c>
      <c r="C17" s="460">
        <v>1000</v>
      </c>
      <c r="D17" s="156">
        <v>1500</v>
      </c>
      <c r="E17" s="156">
        <v>1500</v>
      </c>
      <c r="F17" s="156">
        <v>1500</v>
      </c>
      <c r="G17" s="156">
        <v>1500</v>
      </c>
      <c r="H17" s="156">
        <v>1500</v>
      </c>
      <c r="I17" s="156">
        <v>1500</v>
      </c>
      <c r="J17" s="132">
        <v>1605</v>
      </c>
      <c r="K17" s="14">
        <v>802.49</v>
      </c>
      <c r="L17" s="132">
        <v>1605</v>
      </c>
      <c r="M17" s="132"/>
    </row>
    <row r="18" spans="1:13" x14ac:dyDescent="0.2">
      <c r="A18" s="12">
        <v>5144</v>
      </c>
      <c r="B18" s="69" t="s">
        <v>152</v>
      </c>
      <c r="C18" s="804"/>
      <c r="D18" s="244"/>
      <c r="E18" s="244"/>
      <c r="F18" s="244"/>
      <c r="G18" s="244">
        <v>150</v>
      </c>
      <c r="H18" s="244">
        <v>150</v>
      </c>
      <c r="I18" s="244">
        <v>150</v>
      </c>
      <c r="J18" s="135">
        <v>150</v>
      </c>
      <c r="K18" s="39"/>
      <c r="L18" s="135">
        <f>+N46</f>
        <v>500</v>
      </c>
      <c r="M18" s="135"/>
    </row>
    <row r="19" spans="1:13" ht="13.5" thickBot="1" x14ac:dyDescent="0.25">
      <c r="A19" s="12">
        <v>5145</v>
      </c>
      <c r="B19" s="13" t="s">
        <v>598</v>
      </c>
      <c r="C19" s="349">
        <v>300.04000000000002</v>
      </c>
      <c r="D19" s="349">
        <v>300.04000000000002</v>
      </c>
      <c r="E19" s="349">
        <v>300.04000000000002</v>
      </c>
      <c r="F19" s="349">
        <v>305.81</v>
      </c>
      <c r="G19" s="156">
        <v>51.93</v>
      </c>
      <c r="H19" s="156"/>
      <c r="I19" s="156">
        <v>0</v>
      </c>
      <c r="J19" s="132">
        <v>300</v>
      </c>
      <c r="K19" s="14">
        <v>121.17</v>
      </c>
      <c r="L19" s="132">
        <v>300</v>
      </c>
      <c r="M19" s="132"/>
    </row>
    <row r="20" spans="1:13" x14ac:dyDescent="0.2">
      <c r="A20" s="12">
        <v>5193</v>
      </c>
      <c r="B20" s="13" t="s">
        <v>1212</v>
      </c>
      <c r="C20" s="351"/>
      <c r="D20" s="351"/>
      <c r="E20" s="351"/>
      <c r="F20" s="351"/>
      <c r="G20" s="156"/>
      <c r="H20" s="156"/>
      <c r="I20" s="156">
        <v>5501.21</v>
      </c>
      <c r="J20" s="132"/>
      <c r="K20" s="14"/>
      <c r="L20" s="132"/>
      <c r="M20" s="132"/>
    </row>
    <row r="21" spans="1:13" ht="13.5" thickBot="1" x14ac:dyDescent="0.25">
      <c r="A21" s="12">
        <v>5194</v>
      </c>
      <c r="B21" s="13" t="s">
        <v>1213</v>
      </c>
      <c r="C21" s="351"/>
      <c r="D21" s="351"/>
      <c r="E21" s="351"/>
      <c r="F21" s="351"/>
      <c r="G21" s="350"/>
      <c r="H21" s="350"/>
      <c r="I21" s="350">
        <v>1833.74</v>
      </c>
      <c r="J21" s="159"/>
      <c r="K21" s="41"/>
      <c r="L21" s="159"/>
      <c r="M21" s="159"/>
    </row>
    <row r="22" spans="1:13" x14ac:dyDescent="0.2">
      <c r="A22" s="12"/>
      <c r="B22" s="18" t="s">
        <v>125</v>
      </c>
      <c r="C22" s="19">
        <f>SUM(C9:C19)</f>
        <v>93307.23</v>
      </c>
      <c r="D22" s="19">
        <f>SUM(D9:D19)</f>
        <v>106867.76</v>
      </c>
      <c r="E22" s="19">
        <f>SUM(E9:E19)</f>
        <v>103582.21999999999</v>
      </c>
      <c r="F22" s="19">
        <f>SUM(F9:F19)</f>
        <v>118618.74</v>
      </c>
      <c r="G22" s="19">
        <f t="shared" ref="G22:L22" si="0">SUM(G9:G21)</f>
        <v>120819.32999999999</v>
      </c>
      <c r="H22" s="19">
        <f t="shared" si="0"/>
        <v>124397.49</v>
      </c>
      <c r="I22" s="136">
        <f t="shared" si="0"/>
        <v>116579.92000000001</v>
      </c>
      <c r="J22" s="262">
        <f t="shared" si="0"/>
        <v>129035</v>
      </c>
      <c r="K22" s="19">
        <f t="shared" si="0"/>
        <v>46809.299999999996</v>
      </c>
      <c r="L22" s="262">
        <f t="shared" si="0"/>
        <v>113951</v>
      </c>
      <c r="M22" s="262">
        <f>SUM(M9:M19)</f>
        <v>0</v>
      </c>
    </row>
    <row r="23" spans="1:13" x14ac:dyDescent="0.2">
      <c r="A23" s="12"/>
      <c r="B23" s="13"/>
      <c r="C23" s="14"/>
      <c r="D23" s="14"/>
      <c r="E23" s="14"/>
      <c r="F23" s="14"/>
      <c r="G23" s="14"/>
      <c r="H23" s="14"/>
      <c r="I23" s="156"/>
      <c r="J23" s="132"/>
      <c r="K23" s="14"/>
      <c r="L23" s="132"/>
      <c r="M23" s="132"/>
    </row>
    <row r="24" spans="1:13" x14ac:dyDescent="0.2">
      <c r="A24" s="12">
        <v>5314</v>
      </c>
      <c r="B24" s="13" t="s">
        <v>134</v>
      </c>
      <c r="C24" s="14">
        <v>844</v>
      </c>
      <c r="D24" s="14">
        <v>760</v>
      </c>
      <c r="E24" s="14">
        <v>560</v>
      </c>
      <c r="F24" s="14">
        <v>1125</v>
      </c>
      <c r="G24" s="14">
        <v>1119.97</v>
      </c>
      <c r="H24" s="14">
        <v>1506.34</v>
      </c>
      <c r="I24" s="156">
        <v>790</v>
      </c>
      <c r="J24" s="132">
        <v>1500</v>
      </c>
      <c r="K24" s="14"/>
      <c r="L24" s="132">
        <v>1500</v>
      </c>
      <c r="M24" s="132"/>
    </row>
    <row r="25" spans="1:13" x14ac:dyDescent="0.2">
      <c r="A25" s="12">
        <v>5315</v>
      </c>
      <c r="B25" s="13" t="s">
        <v>31</v>
      </c>
      <c r="C25" s="14">
        <v>8934.75</v>
      </c>
      <c r="D25" s="14">
        <v>7969.5</v>
      </c>
      <c r="E25" s="14">
        <v>3688.75</v>
      </c>
      <c r="F25" s="14">
        <v>2507.9499999999998</v>
      </c>
      <c r="G25" s="14">
        <v>341.25</v>
      </c>
      <c r="H25" s="14">
        <v>963.75</v>
      </c>
      <c r="I25" s="156">
        <v>580</v>
      </c>
      <c r="J25" s="132">
        <v>4000</v>
      </c>
      <c r="K25" s="14">
        <v>230</v>
      </c>
      <c r="L25" s="132">
        <v>9800</v>
      </c>
      <c r="M25" s="132"/>
    </row>
    <row r="26" spans="1:13" x14ac:dyDescent="0.2">
      <c r="A26" s="12">
        <v>5341</v>
      </c>
      <c r="B26" s="13" t="s">
        <v>1101</v>
      </c>
      <c r="C26" s="14">
        <v>618.01</v>
      </c>
      <c r="D26" s="14">
        <v>604.71</v>
      </c>
      <c r="E26" s="14">
        <v>786.39</v>
      </c>
      <c r="F26" s="14">
        <v>623.08000000000004</v>
      </c>
      <c r="G26" s="14">
        <v>895.98</v>
      </c>
      <c r="H26" s="14"/>
      <c r="I26" s="156">
        <v>399.92</v>
      </c>
      <c r="J26" s="132">
        <v>1440</v>
      </c>
      <c r="K26" s="14">
        <v>399.96</v>
      </c>
      <c r="L26" s="132">
        <v>1440</v>
      </c>
      <c r="M26" s="132"/>
    </row>
    <row r="27" spans="1:13" x14ac:dyDescent="0.2">
      <c r="A27" s="12">
        <v>5344</v>
      </c>
      <c r="B27" s="13" t="s">
        <v>137</v>
      </c>
      <c r="C27" s="14">
        <v>372.41</v>
      </c>
      <c r="D27" s="14">
        <v>723.38</v>
      </c>
      <c r="E27" s="14">
        <v>1380.06</v>
      </c>
      <c r="F27" s="14">
        <v>479.67</v>
      </c>
      <c r="G27" s="14">
        <v>1425.09</v>
      </c>
      <c r="H27" s="14">
        <v>391.82</v>
      </c>
      <c r="I27" s="156">
        <v>769.29</v>
      </c>
      <c r="J27" s="132">
        <v>800</v>
      </c>
      <c r="K27" s="14"/>
      <c r="L27" s="132">
        <v>800</v>
      </c>
      <c r="M27" s="132"/>
    </row>
    <row r="28" spans="1:13" x14ac:dyDescent="0.2">
      <c r="A28" s="12">
        <v>5345</v>
      </c>
      <c r="B28" s="13" t="s">
        <v>138</v>
      </c>
      <c r="C28" s="14">
        <v>377.02</v>
      </c>
      <c r="D28" s="14">
        <v>0</v>
      </c>
      <c r="E28" s="14">
        <v>843.5</v>
      </c>
      <c r="F28" s="14"/>
      <c r="G28" s="14">
        <v>439.09</v>
      </c>
      <c r="H28" s="14"/>
      <c r="I28" s="156">
        <v>2118.41</v>
      </c>
      <c r="J28" s="132">
        <v>200</v>
      </c>
      <c r="K28" s="14">
        <v>56</v>
      </c>
      <c r="L28" s="132">
        <v>200</v>
      </c>
      <c r="M28" s="132"/>
    </row>
    <row r="29" spans="1:13" x14ac:dyDescent="0.2">
      <c r="A29" s="12">
        <v>5350</v>
      </c>
      <c r="B29" s="13" t="s">
        <v>1413</v>
      </c>
      <c r="C29" s="14"/>
      <c r="D29" s="14"/>
      <c r="E29" s="14"/>
      <c r="F29" s="14"/>
      <c r="G29" s="14"/>
      <c r="H29" s="14"/>
      <c r="I29" s="156"/>
      <c r="J29" s="132">
        <v>4500</v>
      </c>
      <c r="K29" s="14">
        <v>4500</v>
      </c>
      <c r="L29" s="132">
        <v>3000</v>
      </c>
      <c r="M29" s="132"/>
    </row>
    <row r="30" spans="1:13" x14ac:dyDescent="0.2">
      <c r="A30" s="12">
        <v>5380</v>
      </c>
      <c r="B30" s="13" t="s">
        <v>1214</v>
      </c>
      <c r="C30" s="14">
        <v>614.07000000000005</v>
      </c>
      <c r="D30" s="14">
        <v>674.22</v>
      </c>
      <c r="E30" s="14">
        <v>1414.08</v>
      </c>
      <c r="F30" s="14">
        <v>540</v>
      </c>
      <c r="G30" s="14">
        <v>179.31</v>
      </c>
      <c r="H30" s="14">
        <v>159.19999999999999</v>
      </c>
      <c r="I30" s="156">
        <v>1231.8499999999999</v>
      </c>
      <c r="J30" s="132">
        <v>500</v>
      </c>
      <c r="K30" s="14"/>
      <c r="L30" s="132">
        <v>500</v>
      </c>
      <c r="M30" s="132"/>
    </row>
    <row r="31" spans="1:13" x14ac:dyDescent="0.2">
      <c r="A31" s="12">
        <v>5420</v>
      </c>
      <c r="B31" s="13" t="s">
        <v>139</v>
      </c>
      <c r="C31" s="19">
        <v>1921.7</v>
      </c>
      <c r="D31" s="19">
        <v>2106.65</v>
      </c>
      <c r="E31" s="19">
        <v>5741.26</v>
      </c>
      <c r="F31" s="19">
        <v>4145.3999999999996</v>
      </c>
      <c r="G31" s="19">
        <v>1317.31</v>
      </c>
      <c r="H31" s="19">
        <v>2420.1</v>
      </c>
      <c r="I31" s="136">
        <v>4880.9799999999996</v>
      </c>
      <c r="J31" s="134">
        <v>1500</v>
      </c>
      <c r="K31" s="19">
        <v>2182.09</v>
      </c>
      <c r="L31" s="134">
        <v>1500</v>
      </c>
      <c r="M31" s="134"/>
    </row>
    <row r="32" spans="1:13" hidden="1" x14ac:dyDescent="0.2">
      <c r="A32" s="12">
        <v>5500</v>
      </c>
      <c r="B32" s="69" t="s">
        <v>166</v>
      </c>
      <c r="C32" s="14"/>
      <c r="D32" s="14">
        <v>120.28</v>
      </c>
      <c r="E32" s="14">
        <v>12.41</v>
      </c>
      <c r="F32" s="14">
        <v>383.38</v>
      </c>
      <c r="G32" s="14"/>
      <c r="H32" s="14"/>
      <c r="I32" s="156"/>
      <c r="J32" s="132"/>
      <c r="K32" s="14"/>
      <c r="L32" s="132"/>
      <c r="M32" s="132"/>
    </row>
    <row r="33" spans="1:17" x14ac:dyDescent="0.2">
      <c r="A33" s="12">
        <v>5581</v>
      </c>
      <c r="B33" s="13" t="s">
        <v>141</v>
      </c>
      <c r="C33" s="14">
        <v>200</v>
      </c>
      <c r="D33" s="14">
        <v>0</v>
      </c>
      <c r="E33" s="14"/>
      <c r="F33" s="14">
        <v>48.12</v>
      </c>
      <c r="G33" s="14">
        <v>152.79</v>
      </c>
      <c r="H33" s="14">
        <v>164.8</v>
      </c>
      <c r="I33" s="156">
        <v>290.49</v>
      </c>
      <c r="J33" s="132">
        <v>300</v>
      </c>
      <c r="K33" s="14">
        <v>30</v>
      </c>
      <c r="L33" s="132">
        <v>300</v>
      </c>
      <c r="M33" s="132"/>
    </row>
    <row r="34" spans="1:17" x14ac:dyDescent="0.2">
      <c r="A34" s="12">
        <v>5710</v>
      </c>
      <c r="B34" s="13" t="s">
        <v>529</v>
      </c>
      <c r="C34" s="19">
        <v>1714.45</v>
      </c>
      <c r="D34" s="136">
        <v>899.49</v>
      </c>
      <c r="E34" s="136">
        <v>890.73</v>
      </c>
      <c r="F34" s="136">
        <v>2206.71</v>
      </c>
      <c r="G34" s="136">
        <v>1579.11</v>
      </c>
      <c r="H34" s="136">
        <v>1602.4</v>
      </c>
      <c r="I34" s="136">
        <v>1504.18</v>
      </c>
      <c r="J34" s="134">
        <v>2357</v>
      </c>
      <c r="K34" s="19">
        <v>982.29</v>
      </c>
      <c r="L34" s="134">
        <v>2357</v>
      </c>
      <c r="M34" s="134"/>
    </row>
    <row r="35" spans="1:17" ht="13.5" thickBot="1" x14ac:dyDescent="0.25">
      <c r="A35" s="12">
        <v>5730</v>
      </c>
      <c r="B35" s="13" t="s">
        <v>142</v>
      </c>
      <c r="C35" s="16">
        <v>355</v>
      </c>
      <c r="D35" s="16">
        <v>260</v>
      </c>
      <c r="E35" s="16">
        <v>210</v>
      </c>
      <c r="F35" s="16">
        <v>504</v>
      </c>
      <c r="G35" s="16">
        <v>559</v>
      </c>
      <c r="H35" s="16">
        <v>584</v>
      </c>
      <c r="I35" s="349">
        <v>259</v>
      </c>
      <c r="J35" s="133">
        <v>600</v>
      </c>
      <c r="K35" s="16">
        <v>155</v>
      </c>
      <c r="L35" s="133">
        <v>600</v>
      </c>
      <c r="M35" s="133"/>
    </row>
    <row r="36" spans="1:17" x14ac:dyDescent="0.2">
      <c r="A36" s="12"/>
      <c r="B36" s="18" t="s">
        <v>443</v>
      </c>
      <c r="C36" s="19">
        <f t="shared" ref="C36:K36" si="1">SUM(C24:C35)</f>
        <v>15951.410000000002</v>
      </c>
      <c r="D36" s="19">
        <f t="shared" si="1"/>
        <v>14118.229999999998</v>
      </c>
      <c r="E36" s="19">
        <f t="shared" si="1"/>
        <v>15527.18</v>
      </c>
      <c r="F36" s="19">
        <f>SUM(F24:F35)</f>
        <v>12563.309999999998</v>
      </c>
      <c r="G36" s="19">
        <f>SUM(G24:G35)</f>
        <v>8008.9</v>
      </c>
      <c r="H36" s="19">
        <f>SUM(H24:H35)</f>
        <v>7792.41</v>
      </c>
      <c r="I36" s="19">
        <f t="shared" si="1"/>
        <v>12824.119999999999</v>
      </c>
      <c r="J36" s="20">
        <f>SUM(J24:J35)</f>
        <v>17697</v>
      </c>
      <c r="K36" s="19">
        <f t="shared" si="1"/>
        <v>8535.34</v>
      </c>
      <c r="L36" s="20">
        <f>SUM(L24:L35)</f>
        <v>21997</v>
      </c>
      <c r="M36" s="20">
        <f>SUM(M24:M35)</f>
        <v>0</v>
      </c>
    </row>
    <row r="37" spans="1:17" x14ac:dyDescent="0.2">
      <c r="A37" s="12"/>
      <c r="B37" s="13"/>
      <c r="C37" s="14"/>
      <c r="D37" s="14"/>
      <c r="E37" s="14"/>
      <c r="F37" s="14"/>
      <c r="G37" s="14"/>
      <c r="H37" s="14"/>
      <c r="I37" s="14"/>
      <c r="J37" s="15"/>
      <c r="K37" s="14"/>
      <c r="L37" s="15"/>
      <c r="M37" s="15"/>
    </row>
    <row r="38" spans="1:17" ht="13.5" thickBot="1" x14ac:dyDescent="0.25">
      <c r="A38" s="21"/>
      <c r="B38" s="22" t="s">
        <v>304</v>
      </c>
      <c r="C38" s="23">
        <f t="shared" ref="C38:K38" si="2">+C36+C22</f>
        <v>109258.64</v>
      </c>
      <c r="D38" s="23">
        <f t="shared" si="2"/>
        <v>120985.98999999999</v>
      </c>
      <c r="E38" s="23">
        <f t="shared" si="2"/>
        <v>119109.4</v>
      </c>
      <c r="F38" s="23">
        <f>+F36+F22</f>
        <v>131182.04999999999</v>
      </c>
      <c r="G38" s="23">
        <f>+G36+G22</f>
        <v>128828.22999999998</v>
      </c>
      <c r="H38" s="23">
        <f>+H36+H22</f>
        <v>132189.9</v>
      </c>
      <c r="I38" s="23">
        <f t="shared" si="2"/>
        <v>129404.04000000001</v>
      </c>
      <c r="J38" s="24">
        <f>+J36+J22</f>
        <v>146732</v>
      </c>
      <c r="K38" s="23">
        <f t="shared" si="2"/>
        <v>55344.639999999999</v>
      </c>
      <c r="L38" s="24">
        <f>+L36+L22</f>
        <v>135948</v>
      </c>
      <c r="M38" s="24">
        <f>+L38</f>
        <v>135948</v>
      </c>
    </row>
    <row r="39" spans="1:17" ht="13.5" thickTop="1" x14ac:dyDescent="0.2">
      <c r="A39" s="4"/>
      <c r="B39" s="4"/>
      <c r="C39" s="25"/>
      <c r="D39" s="25"/>
      <c r="E39" s="25"/>
      <c r="F39" s="25"/>
      <c r="G39" s="25"/>
      <c r="H39" s="25"/>
      <c r="I39" s="25"/>
      <c r="J39" s="25"/>
      <c r="K39" s="29"/>
      <c r="L39" s="25"/>
      <c r="M39" s="84"/>
      <c r="N39" s="25"/>
      <c r="O39" s="29"/>
      <c r="P39" s="212"/>
      <c r="Q39" s="29"/>
    </row>
    <row r="40" spans="1:17" x14ac:dyDescent="0.2">
      <c r="A40" s="72"/>
      <c r="B40" s="4"/>
      <c r="C40" s="25"/>
      <c r="D40" s="25"/>
      <c r="E40" s="25"/>
      <c r="F40" s="25"/>
      <c r="G40" s="25"/>
      <c r="H40" s="25"/>
      <c r="I40" s="25"/>
      <c r="J40" s="25"/>
      <c r="K40" s="29"/>
      <c r="L40" s="25"/>
      <c r="M40" s="84"/>
      <c r="N40" s="25"/>
      <c r="O40" s="29"/>
      <c r="P40" s="212"/>
      <c r="Q40" s="29"/>
    </row>
    <row r="41" spans="1:17" x14ac:dyDescent="0.2">
      <c r="A41" s="4"/>
      <c r="B41" s="4"/>
      <c r="C41" s="25"/>
      <c r="D41" s="25"/>
      <c r="E41" s="25"/>
      <c r="F41" s="25"/>
      <c r="G41" s="25"/>
      <c r="H41" s="25"/>
      <c r="I41" s="25"/>
      <c r="J41" s="25"/>
      <c r="K41" s="29"/>
      <c r="L41" s="112"/>
      <c r="M41" s="84"/>
      <c r="N41" s="29"/>
      <c r="O41" s="29"/>
      <c r="P41" s="212"/>
      <c r="Q41" s="29"/>
    </row>
    <row r="42" spans="1:17" ht="13.5" thickBot="1" x14ac:dyDescent="0.25">
      <c r="A42" s="4" t="s">
        <v>521</v>
      </c>
      <c r="B42" s="4"/>
    </row>
    <row r="43" spans="1:17" ht="13.5" thickTop="1" x14ac:dyDescent="0.2">
      <c r="A43" s="162" t="s">
        <v>883</v>
      </c>
      <c r="B43" s="114"/>
      <c r="H43" s="162" t="s">
        <v>84</v>
      </c>
      <c r="I43" s="169" t="s">
        <v>33</v>
      </c>
      <c r="J43" s="182"/>
      <c r="K43" s="171" t="s">
        <v>578</v>
      </c>
      <c r="L43"/>
      <c r="M43" s="220" t="s">
        <v>336</v>
      </c>
      <c r="N43"/>
      <c r="O43" s="1"/>
    </row>
    <row r="44" spans="1:17" ht="13.5" thickBot="1" x14ac:dyDescent="0.25">
      <c r="A44" s="392" t="s">
        <v>884</v>
      </c>
      <c r="B44" s="116" t="s">
        <v>522</v>
      </c>
      <c r="H44" s="173"/>
      <c r="I44" s="172" t="s">
        <v>575</v>
      </c>
      <c r="J44" s="173" t="s">
        <v>34</v>
      </c>
      <c r="K44" s="173" t="s">
        <v>101</v>
      </c>
      <c r="L44" s="246" t="s">
        <v>335</v>
      </c>
      <c r="M44" s="246" t="s">
        <v>900</v>
      </c>
      <c r="N44" s="246" t="s">
        <v>337</v>
      </c>
      <c r="O44" s="1"/>
    </row>
    <row r="45" spans="1:17" ht="13.5" thickTop="1" x14ac:dyDescent="0.2">
      <c r="A45" s="185">
        <v>43619</v>
      </c>
      <c r="B45" s="117" t="s">
        <v>559</v>
      </c>
      <c r="H45" s="20" t="s">
        <v>1345</v>
      </c>
      <c r="I45" s="168"/>
      <c r="J45" s="19"/>
      <c r="K45" s="168">
        <f>+'NAGE &amp; Non-Union Wages'!G10</f>
        <v>67610</v>
      </c>
      <c r="L45" s="185">
        <v>43619</v>
      </c>
      <c r="M45">
        <v>2</v>
      </c>
      <c r="N45" s="2"/>
      <c r="O45" s="1"/>
    </row>
    <row r="46" spans="1:17" x14ac:dyDescent="0.2">
      <c r="A46" s="185">
        <v>40546</v>
      </c>
      <c r="B46" s="69" t="s">
        <v>1395</v>
      </c>
      <c r="H46" s="15" t="s">
        <v>1067</v>
      </c>
      <c r="I46" s="180">
        <f>+'NAGE &amp; Non-Union Wages'!I5</f>
        <v>20.75</v>
      </c>
      <c r="J46" s="19">
        <v>1828.5</v>
      </c>
      <c r="K46" s="168">
        <f>ROUND((+I46*J46),2)</f>
        <v>37941.379999999997</v>
      </c>
      <c r="L46" s="185">
        <v>40546</v>
      </c>
      <c r="M46">
        <v>10</v>
      </c>
      <c r="N46" s="2">
        <v>500</v>
      </c>
      <c r="O46" s="235"/>
    </row>
    <row r="47" spans="1:17" x14ac:dyDescent="0.2">
      <c r="A47" s="62"/>
      <c r="B47" s="653"/>
      <c r="H47" s="244"/>
      <c r="I47" s="39"/>
      <c r="J47" s="244"/>
      <c r="K47" s="763"/>
      <c r="L47" s="62"/>
      <c r="M47" s="29"/>
      <c r="N47" s="2"/>
      <c r="O47" s="1"/>
    </row>
    <row r="48" spans="1:17" x14ac:dyDescent="0.2">
      <c r="A48" s="72"/>
      <c r="B48" s="102"/>
      <c r="C48" s="25"/>
      <c r="D48" s="25"/>
      <c r="E48" s="25"/>
      <c r="H48" s="25"/>
      <c r="I48" s="25"/>
      <c r="J48" s="25"/>
      <c r="K48" s="29"/>
      <c r="L48" s="25"/>
      <c r="M48" s="25"/>
      <c r="N48" s="25"/>
      <c r="O48" s="29"/>
      <c r="P48" s="29"/>
      <c r="Q48" s="29"/>
    </row>
    <row r="49" spans="1:17" x14ac:dyDescent="0.2">
      <c r="A49" s="4"/>
      <c r="B49" s="4" t="s">
        <v>1053</v>
      </c>
      <c r="C49" s="25"/>
      <c r="D49" s="25"/>
      <c r="E49" s="25"/>
      <c r="H49" s="25"/>
      <c r="I49" s="25"/>
      <c r="J49" s="25"/>
      <c r="K49" s="29"/>
      <c r="L49" s="25"/>
      <c r="M49" s="25"/>
      <c r="N49" s="25"/>
      <c r="O49" s="29"/>
      <c r="P49" s="29"/>
      <c r="Q49" s="29"/>
    </row>
    <row r="50" spans="1:17" ht="13.5" thickBot="1" x14ac:dyDescent="0.25">
      <c r="A50" s="4"/>
      <c r="B50" s="4"/>
      <c r="C50" s="25"/>
      <c r="D50" s="25"/>
      <c r="E50" s="25"/>
      <c r="H50" s="25"/>
      <c r="I50" s="25"/>
      <c r="J50" s="25"/>
      <c r="K50" s="29"/>
      <c r="L50" s="25"/>
      <c r="M50" s="25"/>
      <c r="N50" s="25"/>
      <c r="O50" s="29"/>
      <c r="P50" s="29"/>
      <c r="Q50" s="29"/>
    </row>
    <row r="51" spans="1:17" ht="13.5" thickTop="1" x14ac:dyDescent="0.2">
      <c r="A51" s="517"/>
      <c r="B51" s="518"/>
      <c r="C51" s="519" t="s">
        <v>122</v>
      </c>
      <c r="D51" s="520" t="s">
        <v>122</v>
      </c>
      <c r="E51" s="520" t="s">
        <v>122</v>
      </c>
      <c r="H51" s="521" t="s">
        <v>542</v>
      </c>
      <c r="I51" s="522" t="s">
        <v>9</v>
      </c>
      <c r="J51" s="523" t="s">
        <v>1073</v>
      </c>
      <c r="K51" s="522" t="s">
        <v>682</v>
      </c>
      <c r="L51" s="524"/>
      <c r="M51" s="523"/>
      <c r="N51" s="25"/>
      <c r="O51" s="29"/>
      <c r="P51" s="29"/>
      <c r="Q51" s="29"/>
    </row>
    <row r="52" spans="1:17" ht="13.5" thickBot="1" x14ac:dyDescent="0.25">
      <c r="A52" s="525" t="s">
        <v>123</v>
      </c>
      <c r="B52" s="526"/>
      <c r="C52" s="527" t="s">
        <v>334</v>
      </c>
      <c r="D52" s="527" t="s">
        <v>718</v>
      </c>
      <c r="E52" s="528" t="s">
        <v>734</v>
      </c>
      <c r="H52" s="529" t="s">
        <v>899</v>
      </c>
      <c r="I52" s="529" t="s">
        <v>900</v>
      </c>
      <c r="J52" s="528" t="s">
        <v>1075</v>
      </c>
      <c r="K52" s="530" t="s">
        <v>1075</v>
      </c>
      <c r="L52" s="531" t="s">
        <v>1074</v>
      </c>
      <c r="M52" s="529"/>
      <c r="N52" s="25"/>
      <c r="O52" s="29"/>
      <c r="P52" s="29"/>
      <c r="Q52" s="29"/>
    </row>
    <row r="53" spans="1:17" ht="13.5" thickTop="1" x14ac:dyDescent="0.2">
      <c r="A53" s="557"/>
      <c r="B53" s="558"/>
      <c r="C53" s="559"/>
      <c r="D53" s="560"/>
      <c r="E53" s="560"/>
      <c r="H53" s="561"/>
      <c r="I53" s="536"/>
      <c r="J53" s="572"/>
      <c r="K53" s="545"/>
      <c r="L53" s="538"/>
      <c r="M53" s="539"/>
      <c r="N53" s="25"/>
      <c r="O53" s="29"/>
      <c r="P53" s="29"/>
      <c r="Q53" s="29"/>
    </row>
    <row r="54" spans="1:17" x14ac:dyDescent="0.2">
      <c r="A54" s="551">
        <v>5111</v>
      </c>
      <c r="B54" s="540" t="s">
        <v>700</v>
      </c>
      <c r="C54" s="544">
        <v>62644</v>
      </c>
      <c r="D54" s="544">
        <f>129+62937</f>
        <v>63066</v>
      </c>
      <c r="E54" s="544">
        <v>64970</v>
      </c>
      <c r="H54" s="543">
        <f>+J9</f>
        <v>71388</v>
      </c>
      <c r="I54" s="569">
        <f>+L9</f>
        <v>67610</v>
      </c>
      <c r="J54" s="572">
        <f>+I54-H54</f>
        <v>-3778</v>
      </c>
      <c r="K54" s="545">
        <f>IF(H54+I54&lt;&gt;0,IF(H54&lt;&gt;0,IF(J54&lt;&gt;0,ROUND((+J54/H54),4),""),1),"")</f>
        <v>-5.2900000000000003E-2</v>
      </c>
      <c r="L54" s="538" t="s">
        <v>1530</v>
      </c>
      <c r="M54" s="539"/>
      <c r="N54" s="25"/>
      <c r="O54" s="4"/>
      <c r="P54" s="4"/>
      <c r="Q54" s="4"/>
    </row>
    <row r="55" spans="1:17" x14ac:dyDescent="0.2">
      <c r="A55" s="551">
        <v>5113</v>
      </c>
      <c r="B55" s="540" t="s">
        <v>1052</v>
      </c>
      <c r="C55" s="544">
        <v>11965.6</v>
      </c>
      <c r="D55" s="544">
        <v>22300.3</v>
      </c>
      <c r="E55" s="544">
        <v>16105.72</v>
      </c>
      <c r="H55" s="543">
        <f t="shared" ref="H55:H65" si="3">+J10</f>
        <v>31395</v>
      </c>
      <c r="I55" s="569">
        <f>+L10</f>
        <v>0</v>
      </c>
      <c r="J55" s="572">
        <f>+I55-H55</f>
        <v>-31395</v>
      </c>
      <c r="K55" s="545">
        <f>IF(H55+I55&lt;&gt;0,IF(H55&lt;&gt;0,IF(J55&lt;&gt;0,ROUND((+J55/H55),4),""),1),"")</f>
        <v>-1</v>
      </c>
      <c r="L55" s="538" t="s">
        <v>1531</v>
      </c>
      <c r="M55" s="539"/>
      <c r="N55" s="25"/>
      <c r="O55" s="4"/>
      <c r="P55" s="4"/>
      <c r="Q55" s="4"/>
    </row>
    <row r="56" spans="1:17" x14ac:dyDescent="0.2">
      <c r="A56" s="551">
        <v>5114</v>
      </c>
      <c r="B56" s="540" t="s">
        <v>737</v>
      </c>
      <c r="C56" s="544">
        <v>12727.84</v>
      </c>
      <c r="D56" s="544">
        <v>14529.42</v>
      </c>
      <c r="E56" s="544">
        <v>15036.46</v>
      </c>
      <c r="H56" s="543">
        <f t="shared" si="3"/>
        <v>18202</v>
      </c>
      <c r="I56" s="569">
        <f>+L11</f>
        <v>37941</v>
      </c>
      <c r="J56" s="572">
        <f t="shared" ref="J56:J77" si="4">+I56-H56</f>
        <v>19739</v>
      </c>
      <c r="K56" s="545">
        <f>IF(H56+I56&lt;&gt;0,IF(H56&lt;&gt;0,IF(J56&lt;&gt;0,ROUND((+J56/H56),4),""),1),"")</f>
        <v>1.0844</v>
      </c>
      <c r="L56" s="538" t="s">
        <v>1533</v>
      </c>
      <c r="M56" s="539"/>
      <c r="N56" s="25"/>
      <c r="O56" s="4"/>
      <c r="P56" s="4"/>
      <c r="Q56" s="4"/>
    </row>
    <row r="57" spans="1:17" x14ac:dyDescent="0.2">
      <c r="A57" s="551">
        <v>5116</v>
      </c>
      <c r="B57" s="540" t="s">
        <v>527</v>
      </c>
      <c r="C57" s="544">
        <v>1500</v>
      </c>
      <c r="D57" s="544">
        <v>1500</v>
      </c>
      <c r="E57" s="544">
        <v>1500</v>
      </c>
      <c r="H57" s="543">
        <f t="shared" si="3"/>
        <v>1575</v>
      </c>
      <c r="I57" s="569">
        <f>+L12</f>
        <v>1575</v>
      </c>
      <c r="J57" s="572">
        <f t="shared" si="4"/>
        <v>0</v>
      </c>
      <c r="K57" s="545" t="str">
        <f>IF(H57+I57&lt;&gt;0,IF(H57&lt;&gt;0,IF(J57&lt;&gt;0,ROUND((+J57/H57),4),""),1),"")</f>
        <v/>
      </c>
      <c r="L57" s="538"/>
      <c r="M57" s="539"/>
      <c r="N57" s="25"/>
      <c r="O57" s="4"/>
      <c r="P57" s="4"/>
      <c r="Q57" s="4"/>
    </row>
    <row r="58" spans="1:17" x14ac:dyDescent="0.2">
      <c r="A58" s="551">
        <v>5117</v>
      </c>
      <c r="B58" s="540" t="s">
        <v>736</v>
      </c>
      <c r="C58" s="546">
        <v>500</v>
      </c>
      <c r="D58" s="546">
        <v>0</v>
      </c>
      <c r="E58" s="546">
        <v>500</v>
      </c>
      <c r="H58" s="543">
        <f t="shared" si="3"/>
        <v>1050</v>
      </c>
      <c r="I58" s="569">
        <f>+L13</f>
        <v>1050</v>
      </c>
      <c r="J58" s="572">
        <f t="shared" si="4"/>
        <v>0</v>
      </c>
      <c r="K58" s="545" t="str">
        <f>IF(H58+I58&lt;&gt;0,IF(H58&lt;&gt;0,IF(J58&lt;&gt;0,ROUND((+J58/H58),4),""),1),"")</f>
        <v/>
      </c>
      <c r="L58" s="538"/>
      <c r="M58" s="545"/>
      <c r="N58" s="25"/>
      <c r="O58" s="4"/>
      <c r="P58" s="4"/>
      <c r="Q58" s="4"/>
    </row>
    <row r="59" spans="1:17" x14ac:dyDescent="0.2">
      <c r="A59" s="551"/>
      <c r="B59" s="540" t="s">
        <v>557</v>
      </c>
      <c r="C59" s="546">
        <v>1000</v>
      </c>
      <c r="D59" s="546">
        <v>1500</v>
      </c>
      <c r="E59" s="546">
        <v>1500</v>
      </c>
      <c r="H59" s="543">
        <f t="shared" ref="H59:H64" si="5">+J15</f>
        <v>1765</v>
      </c>
      <c r="I59" s="569">
        <f t="shared" ref="I59:I65" si="6">+L15</f>
        <v>1765</v>
      </c>
      <c r="J59" s="572">
        <f t="shared" ref="J59:J64" si="7">+I59-H59</f>
        <v>0</v>
      </c>
      <c r="K59" s="545" t="str">
        <f t="shared" ref="K59:K64" si="8">IF(H59+I59&lt;&gt;0,IF(H59&lt;&gt;0,IF(J59&lt;&gt;0,ROUND((+J59/H59),4),""),1),"")</f>
        <v/>
      </c>
      <c r="L59" s="538"/>
      <c r="M59" s="545"/>
      <c r="N59" s="25"/>
      <c r="O59" s="4"/>
      <c r="P59" s="4"/>
      <c r="Q59" s="4"/>
    </row>
    <row r="60" spans="1:17" x14ac:dyDescent="0.2">
      <c r="A60" s="551"/>
      <c r="B60" s="540" t="s">
        <v>525</v>
      </c>
      <c r="C60" s="546">
        <v>1000</v>
      </c>
      <c r="D60" s="546">
        <v>1500</v>
      </c>
      <c r="E60" s="546">
        <v>1500</v>
      </c>
      <c r="H60" s="543">
        <f t="shared" si="5"/>
        <v>1605</v>
      </c>
      <c r="I60" s="569">
        <f t="shared" si="6"/>
        <v>1605</v>
      </c>
      <c r="J60" s="572">
        <f t="shared" si="7"/>
        <v>0</v>
      </c>
      <c r="K60" s="545" t="str">
        <f t="shared" si="8"/>
        <v/>
      </c>
      <c r="L60" s="538"/>
      <c r="M60" s="545"/>
      <c r="N60" s="25"/>
      <c r="O60" s="4"/>
      <c r="P60" s="4"/>
      <c r="Q60" s="4"/>
    </row>
    <row r="61" spans="1:17" x14ac:dyDescent="0.2">
      <c r="A61" s="551">
        <v>5115</v>
      </c>
      <c r="B61" s="540" t="s">
        <v>526</v>
      </c>
      <c r="C61" s="544">
        <v>1000</v>
      </c>
      <c r="D61" s="544">
        <v>1500</v>
      </c>
      <c r="E61" s="544">
        <v>1500</v>
      </c>
      <c r="H61" s="543">
        <f t="shared" si="5"/>
        <v>1605</v>
      </c>
      <c r="I61" s="569">
        <f t="shared" si="6"/>
        <v>1605</v>
      </c>
      <c r="J61" s="572">
        <f t="shared" si="7"/>
        <v>0</v>
      </c>
      <c r="K61" s="545" t="str">
        <f t="shared" si="8"/>
        <v/>
      </c>
      <c r="L61" s="538"/>
      <c r="M61" s="545"/>
      <c r="N61" s="25"/>
      <c r="O61" s="4"/>
      <c r="P61" s="4"/>
      <c r="Q61" s="4"/>
    </row>
    <row r="62" spans="1:17" x14ac:dyDescent="0.2">
      <c r="A62" s="551">
        <v>5144</v>
      </c>
      <c r="B62" s="540" t="s">
        <v>152</v>
      </c>
      <c r="C62" s="546"/>
      <c r="D62" s="546"/>
      <c r="E62" s="546"/>
      <c r="H62" s="543">
        <f t="shared" si="5"/>
        <v>150</v>
      </c>
      <c r="I62" s="569">
        <f t="shared" si="6"/>
        <v>500</v>
      </c>
      <c r="J62" s="572">
        <f t="shared" si="7"/>
        <v>350</v>
      </c>
      <c r="K62" s="545">
        <f t="shared" si="8"/>
        <v>2.3332999999999999</v>
      </c>
      <c r="L62" s="538" t="s">
        <v>1534</v>
      </c>
      <c r="M62" s="539"/>
      <c r="N62" s="25"/>
      <c r="O62" s="4"/>
      <c r="P62" s="4"/>
      <c r="Q62" s="4"/>
    </row>
    <row r="63" spans="1:17" ht="13.5" thickBot="1" x14ac:dyDescent="0.25">
      <c r="A63" s="551">
        <v>5145</v>
      </c>
      <c r="B63" s="540" t="s">
        <v>598</v>
      </c>
      <c r="C63" s="542">
        <v>300.04000000000002</v>
      </c>
      <c r="D63" s="542">
        <v>300.04000000000002</v>
      </c>
      <c r="E63" s="542">
        <v>300.04000000000002</v>
      </c>
      <c r="H63" s="543">
        <f t="shared" si="5"/>
        <v>300</v>
      </c>
      <c r="I63" s="569">
        <f t="shared" si="6"/>
        <v>300</v>
      </c>
      <c r="J63" s="572">
        <f t="shared" si="7"/>
        <v>0</v>
      </c>
      <c r="K63" s="545" t="str">
        <f t="shared" si="8"/>
        <v/>
      </c>
      <c r="L63" s="538"/>
      <c r="M63" s="539"/>
      <c r="N63" s="25"/>
      <c r="O63" s="4"/>
      <c r="P63" s="4"/>
      <c r="Q63" s="4"/>
    </row>
    <row r="64" spans="1:17" x14ac:dyDescent="0.2">
      <c r="A64" s="551">
        <v>5193</v>
      </c>
      <c r="B64" s="540" t="s">
        <v>1212</v>
      </c>
      <c r="C64" s="546"/>
      <c r="D64" s="546"/>
      <c r="E64" s="546"/>
      <c r="H64" s="543">
        <f t="shared" si="5"/>
        <v>0</v>
      </c>
      <c r="I64" s="569">
        <f t="shared" si="6"/>
        <v>0</v>
      </c>
      <c r="J64" s="572">
        <f t="shared" si="7"/>
        <v>0</v>
      </c>
      <c r="K64" s="545" t="str">
        <f t="shared" si="8"/>
        <v/>
      </c>
      <c r="L64" s="538"/>
      <c r="M64" s="539"/>
      <c r="N64" s="25"/>
      <c r="O64" s="4"/>
      <c r="P64" s="4"/>
      <c r="Q64" s="4"/>
    </row>
    <row r="65" spans="1:17" x14ac:dyDescent="0.2">
      <c r="A65" s="551">
        <v>5194</v>
      </c>
      <c r="B65" s="540" t="s">
        <v>1213</v>
      </c>
      <c r="C65" s="546"/>
      <c r="D65" s="546"/>
      <c r="E65" s="546"/>
      <c r="H65" s="543">
        <f t="shared" si="3"/>
        <v>0</v>
      </c>
      <c r="I65" s="569">
        <f t="shared" si="6"/>
        <v>0</v>
      </c>
      <c r="J65" s="572">
        <f t="shared" ref="J65" si="9">+I65-H65</f>
        <v>0</v>
      </c>
      <c r="K65" s="545" t="str">
        <f t="shared" ref="K65:K77" si="10">IF(H65+I65&lt;&gt;0,IF(H65&lt;&gt;0,IF(J65&lt;&gt;0,ROUND((+J65/H65),4),""),1),"")</f>
        <v/>
      </c>
      <c r="L65" s="538"/>
      <c r="M65" s="539"/>
      <c r="N65" s="25"/>
      <c r="O65" s="4"/>
      <c r="P65" s="4"/>
      <c r="Q65" s="4"/>
    </row>
    <row r="66" spans="1:17" x14ac:dyDescent="0.2">
      <c r="A66" s="551">
        <v>5314</v>
      </c>
      <c r="B66" s="540" t="s">
        <v>134</v>
      </c>
      <c r="C66" s="544">
        <v>844</v>
      </c>
      <c r="D66" s="544">
        <v>760</v>
      </c>
      <c r="E66" s="544">
        <v>560</v>
      </c>
      <c r="H66" s="537">
        <f>+J24</f>
        <v>1500</v>
      </c>
      <c r="I66" s="569">
        <f t="shared" ref="I66:I77" si="11">+L24</f>
        <v>1500</v>
      </c>
      <c r="J66" s="572">
        <f t="shared" si="4"/>
        <v>0</v>
      </c>
      <c r="K66" s="545" t="str">
        <f t="shared" si="10"/>
        <v/>
      </c>
      <c r="L66" s="538"/>
      <c r="M66" s="539"/>
      <c r="N66" s="25"/>
      <c r="O66" s="4"/>
      <c r="P66" s="4"/>
      <c r="Q66" s="4"/>
    </row>
    <row r="67" spans="1:17" x14ac:dyDescent="0.2">
      <c r="A67" s="551">
        <v>5315</v>
      </c>
      <c r="B67" s="540" t="s">
        <v>31</v>
      </c>
      <c r="C67" s="544">
        <v>8934.75</v>
      </c>
      <c r="D67" s="544">
        <v>7969.5</v>
      </c>
      <c r="E67" s="544">
        <v>3688.75</v>
      </c>
      <c r="H67" s="537">
        <f t="shared" ref="H67:H77" si="12">+J25</f>
        <v>4000</v>
      </c>
      <c r="I67" s="569">
        <f t="shared" si="11"/>
        <v>9800</v>
      </c>
      <c r="J67" s="572">
        <f t="shared" si="4"/>
        <v>5800</v>
      </c>
      <c r="K67" s="545">
        <f t="shared" si="10"/>
        <v>1.45</v>
      </c>
      <c r="L67" s="538" t="s">
        <v>1535</v>
      </c>
      <c r="M67" s="539"/>
      <c r="N67" s="25"/>
      <c r="O67" s="4"/>
      <c r="P67" s="4"/>
      <c r="Q67" s="4"/>
    </row>
    <row r="68" spans="1:17" x14ac:dyDescent="0.2">
      <c r="A68" s="551">
        <v>5341</v>
      </c>
      <c r="B68" s="540" t="s">
        <v>136</v>
      </c>
      <c r="C68" s="544">
        <v>618.01</v>
      </c>
      <c r="D68" s="544">
        <v>604.71</v>
      </c>
      <c r="E68" s="544">
        <v>786.39</v>
      </c>
      <c r="H68" s="537">
        <f t="shared" si="12"/>
        <v>1440</v>
      </c>
      <c r="I68" s="569">
        <f t="shared" si="11"/>
        <v>1440</v>
      </c>
      <c r="J68" s="572">
        <f t="shared" si="4"/>
        <v>0</v>
      </c>
      <c r="K68" s="545" t="str">
        <f t="shared" si="10"/>
        <v/>
      </c>
      <c r="L68" s="538"/>
      <c r="M68" s="539"/>
      <c r="N68" s="25"/>
      <c r="O68" s="4"/>
      <c r="P68" s="4"/>
      <c r="Q68" s="4"/>
    </row>
    <row r="69" spans="1:17" x14ac:dyDescent="0.2">
      <c r="A69" s="551">
        <v>5344</v>
      </c>
      <c r="B69" s="540" t="s">
        <v>137</v>
      </c>
      <c r="C69" s="544">
        <v>372.41</v>
      </c>
      <c r="D69" s="544">
        <v>723.38</v>
      </c>
      <c r="E69" s="544">
        <v>1380.06</v>
      </c>
      <c r="H69" s="537">
        <f t="shared" si="12"/>
        <v>800</v>
      </c>
      <c r="I69" s="569">
        <f t="shared" si="11"/>
        <v>800</v>
      </c>
      <c r="J69" s="572">
        <f t="shared" si="4"/>
        <v>0</v>
      </c>
      <c r="K69" s="545" t="str">
        <f t="shared" si="10"/>
        <v/>
      </c>
      <c r="L69" s="538"/>
      <c r="M69" s="539"/>
      <c r="N69" s="25"/>
      <c r="O69" s="4"/>
      <c r="P69" s="4"/>
      <c r="Q69" s="4"/>
    </row>
    <row r="70" spans="1:17" x14ac:dyDescent="0.2">
      <c r="A70" s="551">
        <v>5345</v>
      </c>
      <c r="B70" s="540" t="s">
        <v>138</v>
      </c>
      <c r="C70" s="544">
        <v>377.02</v>
      </c>
      <c r="D70" s="544">
        <v>0</v>
      </c>
      <c r="E70" s="544">
        <v>843.5</v>
      </c>
      <c r="H70" s="537">
        <f t="shared" si="12"/>
        <v>200</v>
      </c>
      <c r="I70" s="569">
        <f t="shared" si="11"/>
        <v>200</v>
      </c>
      <c r="J70" s="572">
        <f t="shared" si="4"/>
        <v>0</v>
      </c>
      <c r="K70" s="545" t="str">
        <f t="shared" si="10"/>
        <v/>
      </c>
      <c r="L70" s="538"/>
      <c r="M70" s="539"/>
      <c r="N70" s="25"/>
      <c r="O70" s="4"/>
      <c r="P70" s="4"/>
      <c r="Q70" s="4"/>
    </row>
    <row r="71" spans="1:17" x14ac:dyDescent="0.2">
      <c r="A71" s="551">
        <v>5350</v>
      </c>
      <c r="B71" s="540" t="s">
        <v>1265</v>
      </c>
      <c r="C71" s="544"/>
      <c r="D71" s="544"/>
      <c r="E71" s="544"/>
      <c r="H71" s="537">
        <f t="shared" si="12"/>
        <v>4500</v>
      </c>
      <c r="I71" s="569">
        <f t="shared" si="11"/>
        <v>3000</v>
      </c>
      <c r="J71" s="572">
        <f t="shared" ref="J71" si="13">+I71-H71</f>
        <v>-1500</v>
      </c>
      <c r="K71" s="545">
        <f t="shared" si="10"/>
        <v>-0.33329999999999999</v>
      </c>
      <c r="L71" s="538" t="s">
        <v>1532</v>
      </c>
      <c r="M71" s="539"/>
      <c r="N71" s="25"/>
      <c r="O71" s="4"/>
      <c r="P71" s="4"/>
      <c r="Q71" s="4"/>
    </row>
    <row r="72" spans="1:17" x14ac:dyDescent="0.2">
      <c r="A72" s="551">
        <v>5380</v>
      </c>
      <c r="B72" s="540" t="s">
        <v>177</v>
      </c>
      <c r="C72" s="544">
        <v>614.07000000000005</v>
      </c>
      <c r="D72" s="544">
        <v>674.22</v>
      </c>
      <c r="E72" s="544">
        <v>1414.08</v>
      </c>
      <c r="H72" s="537">
        <f t="shared" si="12"/>
        <v>500</v>
      </c>
      <c r="I72" s="569">
        <f t="shared" si="11"/>
        <v>500</v>
      </c>
      <c r="J72" s="572">
        <f t="shared" si="4"/>
        <v>0</v>
      </c>
      <c r="K72" s="545" t="str">
        <f t="shared" si="10"/>
        <v/>
      </c>
      <c r="L72" s="538"/>
      <c r="M72" s="539"/>
      <c r="N72" s="25"/>
      <c r="O72" s="4"/>
      <c r="P72" s="4"/>
      <c r="Q72" s="4"/>
    </row>
    <row r="73" spans="1:17" x14ac:dyDescent="0.2">
      <c r="A73" s="551">
        <v>5420</v>
      </c>
      <c r="B73" s="540" t="s">
        <v>139</v>
      </c>
      <c r="C73" s="536">
        <v>1921.7</v>
      </c>
      <c r="D73" s="536">
        <v>2106.65</v>
      </c>
      <c r="E73" s="536">
        <v>5741.26</v>
      </c>
      <c r="H73" s="537">
        <f t="shared" si="12"/>
        <v>1500</v>
      </c>
      <c r="I73" s="569">
        <f t="shared" si="11"/>
        <v>1500</v>
      </c>
      <c r="J73" s="572">
        <f t="shared" si="4"/>
        <v>0</v>
      </c>
      <c r="K73" s="545" t="str">
        <f t="shared" si="10"/>
        <v/>
      </c>
      <c r="L73" s="538"/>
      <c r="M73" s="539"/>
      <c r="N73" s="25"/>
      <c r="O73" s="4"/>
      <c r="P73" s="4"/>
      <c r="Q73" s="4"/>
    </row>
    <row r="74" spans="1:17" hidden="1" x14ac:dyDescent="0.2">
      <c r="A74" s="551">
        <v>5500</v>
      </c>
      <c r="B74" s="573" t="s">
        <v>166</v>
      </c>
      <c r="C74" s="544"/>
      <c r="D74" s="544">
        <v>120.28</v>
      </c>
      <c r="E74" s="544">
        <v>12.41</v>
      </c>
      <c r="H74" s="537">
        <f t="shared" si="12"/>
        <v>0</v>
      </c>
      <c r="I74" s="569">
        <f t="shared" si="11"/>
        <v>0</v>
      </c>
      <c r="J74" s="572">
        <f t="shared" si="4"/>
        <v>0</v>
      </c>
      <c r="K74" s="545" t="str">
        <f t="shared" si="10"/>
        <v/>
      </c>
      <c r="L74" s="538"/>
      <c r="M74" s="539"/>
      <c r="N74" s="25"/>
      <c r="O74" s="4"/>
      <c r="P74" s="4"/>
      <c r="Q74" s="4"/>
    </row>
    <row r="75" spans="1:17" x14ac:dyDescent="0.2">
      <c r="A75" s="551">
        <v>5581</v>
      </c>
      <c r="B75" s="540" t="s">
        <v>141</v>
      </c>
      <c r="C75" s="544">
        <v>200</v>
      </c>
      <c r="D75" s="544">
        <v>0</v>
      </c>
      <c r="E75" s="544"/>
      <c r="H75" s="537">
        <f t="shared" si="12"/>
        <v>300</v>
      </c>
      <c r="I75" s="569">
        <f t="shared" si="11"/>
        <v>300</v>
      </c>
      <c r="J75" s="572">
        <f t="shared" si="4"/>
        <v>0</v>
      </c>
      <c r="K75" s="545" t="str">
        <f t="shared" si="10"/>
        <v/>
      </c>
      <c r="L75" s="538"/>
      <c r="M75" s="539"/>
      <c r="N75" s="25"/>
      <c r="O75" s="4"/>
      <c r="P75" s="4"/>
      <c r="Q75" s="4"/>
    </row>
    <row r="76" spans="1:17" x14ac:dyDescent="0.2">
      <c r="A76" s="551">
        <v>5710</v>
      </c>
      <c r="B76" s="540" t="s">
        <v>529</v>
      </c>
      <c r="C76" s="536">
        <v>1714.45</v>
      </c>
      <c r="D76" s="536">
        <v>899.49</v>
      </c>
      <c r="E76" s="536">
        <v>890.73</v>
      </c>
      <c r="H76" s="537">
        <f t="shared" si="12"/>
        <v>2357</v>
      </c>
      <c r="I76" s="569">
        <f t="shared" si="11"/>
        <v>2357</v>
      </c>
      <c r="J76" s="572">
        <f t="shared" si="4"/>
        <v>0</v>
      </c>
      <c r="K76" s="545" t="str">
        <f t="shared" si="10"/>
        <v/>
      </c>
      <c r="L76" s="538"/>
      <c r="M76" s="539"/>
      <c r="N76" s="25"/>
      <c r="O76" s="4"/>
      <c r="P76" s="4"/>
      <c r="Q76" s="4"/>
    </row>
    <row r="77" spans="1:17" ht="13.5" thickBot="1" x14ac:dyDescent="0.25">
      <c r="A77" s="551">
        <v>5730</v>
      </c>
      <c r="B77" s="540" t="s">
        <v>142</v>
      </c>
      <c r="C77" s="542">
        <v>355</v>
      </c>
      <c r="D77" s="542">
        <v>260</v>
      </c>
      <c r="E77" s="542">
        <v>210</v>
      </c>
      <c r="H77" s="537">
        <f t="shared" si="12"/>
        <v>600</v>
      </c>
      <c r="I77" s="569">
        <f t="shared" si="11"/>
        <v>600</v>
      </c>
      <c r="J77" s="572">
        <f t="shared" si="4"/>
        <v>0</v>
      </c>
      <c r="K77" s="545" t="str">
        <f t="shared" si="10"/>
        <v/>
      </c>
      <c r="L77" s="538"/>
      <c r="M77" s="539"/>
      <c r="N77" s="25"/>
      <c r="O77" s="4"/>
      <c r="P77" s="4"/>
      <c r="Q77" s="4"/>
    </row>
    <row r="78" spans="1:17" x14ac:dyDescent="0.2">
      <c r="A78" s="4"/>
      <c r="B78" s="4"/>
      <c r="C78" s="25"/>
      <c r="D78" s="25"/>
      <c r="E78" s="25"/>
      <c r="F78" s="25"/>
      <c r="G78" s="25"/>
      <c r="H78" s="25"/>
      <c r="I78" s="25"/>
      <c r="J78" s="25"/>
      <c r="K78" s="4"/>
      <c r="L78" s="25"/>
      <c r="M78" s="25"/>
      <c r="N78" s="25"/>
      <c r="O78" s="4"/>
      <c r="P78" s="4"/>
      <c r="Q78" s="4"/>
    </row>
    <row r="79" spans="1:17" x14ac:dyDescent="0.2">
      <c r="B79" s="4" t="s">
        <v>1600</v>
      </c>
      <c r="C79" s="25"/>
      <c r="D79" s="25"/>
      <c r="E79" s="25"/>
      <c r="F79" s="25"/>
      <c r="G79" s="25"/>
      <c r="H79" s="849">
        <f>SUM(H54:H77)</f>
        <v>146732</v>
      </c>
      <c r="I79" s="849">
        <f>SUM(I54:I77)</f>
        <v>135948</v>
      </c>
      <c r="J79" s="208">
        <f t="shared" ref="J79" si="14">+I79-H79</f>
        <v>-10784</v>
      </c>
      <c r="K79" s="850">
        <f t="shared" ref="K79" si="15">IF(H79+I79&lt;&gt;0,IF(H79&lt;&gt;0,IF(J79&lt;&gt;0,ROUND((+J79/H79),4),""),1),"")</f>
        <v>-7.3499999999999996E-2</v>
      </c>
    </row>
    <row r="80" spans="1:17" x14ac:dyDescent="0.2">
      <c r="C80" s="121"/>
    </row>
    <row r="81" spans="3:3" x14ac:dyDescent="0.2">
      <c r="C81" s="121"/>
    </row>
    <row r="82" spans="3:3" x14ac:dyDescent="0.2">
      <c r="C82" s="121"/>
    </row>
    <row r="83" spans="3:3" x14ac:dyDescent="0.2">
      <c r="C83" s="121"/>
    </row>
    <row r="84" spans="3:3" x14ac:dyDescent="0.2">
      <c r="C84" s="121"/>
    </row>
    <row r="85" spans="3:3" x14ac:dyDescent="0.2">
      <c r="C85" s="121"/>
    </row>
    <row r="86" spans="3:3" x14ac:dyDescent="0.2">
      <c r="C86" s="121"/>
    </row>
    <row r="87" spans="3:3" x14ac:dyDescent="0.2">
      <c r="C87" s="121"/>
    </row>
    <row r="88" spans="3:3" x14ac:dyDescent="0.2">
      <c r="C88" s="121"/>
    </row>
    <row r="89" spans="3:3" x14ac:dyDescent="0.2">
      <c r="C89" s="121"/>
    </row>
    <row r="90" spans="3:3" x14ac:dyDescent="0.2">
      <c r="C90" s="121"/>
    </row>
    <row r="91" spans="3:3" x14ac:dyDescent="0.2">
      <c r="C91" s="121"/>
    </row>
    <row r="92" spans="3:3" x14ac:dyDescent="0.2">
      <c r="C92" s="121"/>
    </row>
    <row r="93" spans="3:3" x14ac:dyDescent="0.2">
      <c r="C93" s="121"/>
    </row>
    <row r="94" spans="3:3" x14ac:dyDescent="0.2">
      <c r="C94" s="121"/>
    </row>
    <row r="95" spans="3:3" x14ac:dyDescent="0.2">
      <c r="C95" s="121"/>
    </row>
    <row r="96" spans="3:3" x14ac:dyDescent="0.2">
      <c r="C96" s="121"/>
    </row>
    <row r="97" spans="3:3" x14ac:dyDescent="0.2">
      <c r="C97" s="121"/>
    </row>
    <row r="98" spans="3:3" x14ac:dyDescent="0.2">
      <c r="C98" s="121"/>
    </row>
    <row r="99" spans="3:3" x14ac:dyDescent="0.2">
      <c r="C99" s="121"/>
    </row>
    <row r="100" spans="3:3" x14ac:dyDescent="0.2">
      <c r="C100" s="121"/>
    </row>
    <row r="101" spans="3:3" x14ac:dyDescent="0.2">
      <c r="C101" s="121"/>
    </row>
    <row r="102" spans="3:3" x14ac:dyDescent="0.2">
      <c r="C102" s="121"/>
    </row>
    <row r="103" spans="3:3" x14ac:dyDescent="0.2">
      <c r="C103" s="121"/>
    </row>
    <row r="104" spans="3:3" x14ac:dyDescent="0.2">
      <c r="C104" s="121"/>
    </row>
    <row r="105" spans="3:3" x14ac:dyDescent="0.2">
      <c r="C105" s="121"/>
    </row>
  </sheetData>
  <phoneticPr fontId="0" type="noConversion"/>
  <hyperlinks>
    <hyperlink ref="A1" location="'Working Budget with funding det'!A1" display="Main "/>
    <hyperlink ref="B1" location="'Table of Contents'!A1" display="TOC"/>
  </hyperlinks>
  <pageMargins left="0.75" right="0.75" top="1" bottom="1" header="0.5" footer="0.5"/>
  <pageSetup scale="95" fitToHeight="2" orientation="landscape" horizontalDpi="300" verticalDpi="300" r:id="rId1"/>
  <headerFooter alignWithMargins="0">
    <oddFooter>&amp;L&amp;D     &amp;T&amp;C&amp;F&amp;R&amp;A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zoomScale="85" zoomScaleNormal="85" workbookViewId="0">
      <pane ySplit="7" topLeftCell="A21" activePane="bottomLeft" state="frozen"/>
      <selection activeCell="K15" sqref="K15"/>
      <selection pane="bottomLeft" activeCell="J32" sqref="J32"/>
    </sheetView>
  </sheetViews>
  <sheetFormatPr defaultRowHeight="12.75" x14ac:dyDescent="0.2"/>
  <cols>
    <col min="1" max="1" width="10.6640625" customWidth="1"/>
    <col min="2" max="2" width="36.6640625" customWidth="1"/>
    <col min="3" max="3" width="14.5" style="1" hidden="1" customWidth="1"/>
    <col min="4" max="7" width="14.5" style="121" hidden="1" customWidth="1"/>
    <col min="8" max="10" width="14.5" style="121" customWidth="1"/>
    <col min="11" max="11" width="14.5" customWidth="1"/>
    <col min="12" max="14" width="14.5" style="1" customWidth="1"/>
    <col min="15" max="17" width="14.5" customWidth="1"/>
    <col min="18" max="18" width="14.6640625" style="2" customWidth="1"/>
  </cols>
  <sheetData>
    <row r="1" spans="1:17" x14ac:dyDescent="0.2">
      <c r="A1" s="410" t="s">
        <v>1013</v>
      </c>
      <c r="B1" s="410" t="s">
        <v>1418</v>
      </c>
      <c r="N1"/>
    </row>
    <row r="2" spans="1:17" ht="15" x14ac:dyDescent="0.25">
      <c r="A2" s="49" t="s">
        <v>258</v>
      </c>
      <c r="B2" s="49"/>
      <c r="E2" s="153"/>
      <c r="H2" s="153" t="s">
        <v>252</v>
      </c>
      <c r="I2" s="153"/>
      <c r="J2" s="153"/>
      <c r="K2" s="67" t="s">
        <v>305</v>
      </c>
      <c r="M2" s="50" t="s">
        <v>493</v>
      </c>
    </row>
    <row r="3" spans="1:17" ht="13.5" thickBot="1" x14ac:dyDescent="0.25">
      <c r="A3" s="4"/>
      <c r="B3" s="4"/>
      <c r="C3" s="25"/>
      <c r="D3" s="25"/>
      <c r="E3" s="25"/>
      <c r="F3" s="25"/>
      <c r="G3" s="25"/>
      <c r="H3" s="25"/>
      <c r="I3" s="25"/>
      <c r="J3" s="25"/>
      <c r="K3" s="4"/>
      <c r="L3" s="25"/>
      <c r="M3" s="4"/>
      <c r="N3" s="4"/>
      <c r="Q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318"/>
      <c r="J5" s="318"/>
      <c r="K5" s="120" t="s">
        <v>509</v>
      </c>
      <c r="L5" s="95" t="s">
        <v>7</v>
      </c>
      <c r="M5" s="209" t="s">
        <v>783</v>
      </c>
    </row>
    <row r="6" spans="1:17" x14ac:dyDescent="0.2">
      <c r="A6" s="93"/>
      <c r="B6" s="216"/>
      <c r="C6" s="137"/>
      <c r="D6" s="137"/>
      <c r="E6" s="137"/>
      <c r="F6" s="137"/>
      <c r="G6" s="137"/>
      <c r="H6" s="137"/>
      <c r="I6" s="95"/>
      <c r="J6" s="95"/>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7" ht="13.5" thickTop="1" x14ac:dyDescent="0.2">
      <c r="A8" s="30"/>
      <c r="B8" s="218"/>
      <c r="C8" s="142"/>
      <c r="D8" s="19"/>
      <c r="E8" s="19"/>
      <c r="F8" s="19"/>
      <c r="G8" s="19"/>
      <c r="H8" s="19"/>
      <c r="I8" s="20"/>
      <c r="J8" s="20"/>
      <c r="K8" s="19"/>
      <c r="L8" s="20"/>
      <c r="M8" s="20"/>
    </row>
    <row r="9" spans="1:17" x14ac:dyDescent="0.2">
      <c r="A9" s="12">
        <v>5113</v>
      </c>
      <c r="B9" s="117" t="s">
        <v>697</v>
      </c>
      <c r="C9" s="140">
        <v>16942.54</v>
      </c>
      <c r="D9" s="14">
        <v>25004.240000000002</v>
      </c>
      <c r="E9" s="14">
        <v>25781.62</v>
      </c>
      <c r="F9" s="14">
        <v>26924.799999999999</v>
      </c>
      <c r="G9" s="14">
        <v>27587.43</v>
      </c>
      <c r="H9" s="14">
        <v>28836.080000000002</v>
      </c>
      <c r="I9" s="14">
        <v>30144.400000000001</v>
      </c>
      <c r="J9" s="15">
        <f>346+31041</f>
        <v>31387</v>
      </c>
      <c r="K9" s="14">
        <v>14815.5</v>
      </c>
      <c r="L9" s="15">
        <f>ROUND((+K32),0)</f>
        <v>32335</v>
      </c>
      <c r="M9" s="15"/>
    </row>
    <row r="10" spans="1:17" ht="13.5" thickBot="1" x14ac:dyDescent="0.25">
      <c r="A10" s="12">
        <v>5144</v>
      </c>
      <c r="B10" s="117" t="s">
        <v>152</v>
      </c>
      <c r="C10" s="141"/>
      <c r="D10" s="16"/>
      <c r="E10" s="16"/>
      <c r="F10" s="16"/>
      <c r="G10" s="16">
        <v>300</v>
      </c>
      <c r="H10" s="16">
        <v>300</v>
      </c>
      <c r="I10" s="16">
        <v>300</v>
      </c>
      <c r="J10" s="17">
        <v>500</v>
      </c>
      <c r="K10" s="16">
        <v>500</v>
      </c>
      <c r="L10" s="17">
        <v>500</v>
      </c>
      <c r="M10" s="17"/>
    </row>
    <row r="11" spans="1:17" x14ac:dyDescent="0.2">
      <c r="A11" s="12"/>
      <c r="B11" s="70" t="s">
        <v>125</v>
      </c>
      <c r="C11" s="142">
        <f>SUM(C9:C9)</f>
        <v>16942.54</v>
      </c>
      <c r="D11" s="19">
        <f>SUM(D9:D9)</f>
        <v>25004.240000000002</v>
      </c>
      <c r="E11" s="19">
        <f>SUM(E9:E9)</f>
        <v>25781.62</v>
      </c>
      <c r="F11" s="19">
        <f>+F9</f>
        <v>26924.799999999999</v>
      </c>
      <c r="G11" s="19">
        <f t="shared" ref="G11:L11" si="0">SUM(G9:G10)</f>
        <v>27887.43</v>
      </c>
      <c r="H11" s="19">
        <f t="shared" si="0"/>
        <v>29136.080000000002</v>
      </c>
      <c r="I11" s="19">
        <f t="shared" si="0"/>
        <v>30444.400000000001</v>
      </c>
      <c r="J11" s="38">
        <f t="shared" si="0"/>
        <v>31887</v>
      </c>
      <c r="K11" s="19">
        <f t="shared" si="0"/>
        <v>15315.5</v>
      </c>
      <c r="L11" s="38">
        <f t="shared" si="0"/>
        <v>32835</v>
      </c>
      <c r="M11" s="38">
        <f>SUM(M9:M9)</f>
        <v>0</v>
      </c>
    </row>
    <row r="12" spans="1:17" x14ac:dyDescent="0.2">
      <c r="A12" s="12"/>
      <c r="B12" s="69"/>
      <c r="C12" s="140"/>
      <c r="D12" s="14"/>
      <c r="E12" s="14"/>
      <c r="F12" s="14"/>
      <c r="G12" s="14"/>
      <c r="H12" s="14"/>
      <c r="I12" s="14"/>
      <c r="J12" s="132"/>
      <c r="K12" s="14"/>
      <c r="L12" s="132"/>
      <c r="M12" s="132"/>
      <c r="N12" s="235" t="s">
        <v>1371</v>
      </c>
    </row>
    <row r="13" spans="1:17" x14ac:dyDescent="0.2">
      <c r="A13" s="12">
        <v>5211</v>
      </c>
      <c r="B13" s="69" t="s">
        <v>187</v>
      </c>
      <c r="C13" s="140">
        <v>3508.51</v>
      </c>
      <c r="D13" s="14">
        <v>3502.18</v>
      </c>
      <c r="E13" s="14">
        <v>3083.86</v>
      </c>
      <c r="F13" s="14">
        <v>3317.15</v>
      </c>
      <c r="G13" s="14">
        <v>3337.49</v>
      </c>
      <c r="H13" s="14">
        <v>3800.35</v>
      </c>
      <c r="I13" s="14">
        <v>3907.67</v>
      </c>
      <c r="J13" s="15">
        <v>3000</v>
      </c>
      <c r="K13" s="14">
        <v>1872.94</v>
      </c>
      <c r="L13" s="15">
        <v>3600</v>
      </c>
      <c r="M13" s="15"/>
      <c r="N13" s="1">
        <v>123.58</v>
      </c>
    </row>
    <row r="14" spans="1:17" x14ac:dyDescent="0.2">
      <c r="A14" s="12">
        <v>5214</v>
      </c>
      <c r="B14" s="69" t="s">
        <v>710</v>
      </c>
      <c r="C14" s="140">
        <v>1669.01</v>
      </c>
      <c r="D14" s="14">
        <v>1925.82</v>
      </c>
      <c r="E14" s="14">
        <v>1944.03</v>
      </c>
      <c r="F14" s="14">
        <v>1383.3</v>
      </c>
      <c r="G14" s="14">
        <v>1632</v>
      </c>
      <c r="H14" s="14">
        <v>1728.79</v>
      </c>
      <c r="I14" s="14">
        <v>1865.25</v>
      </c>
      <c r="J14" s="15">
        <v>1500</v>
      </c>
      <c r="K14" s="14">
        <v>325.7</v>
      </c>
      <c r="L14" s="15">
        <v>1500</v>
      </c>
      <c r="M14" s="15"/>
    </row>
    <row r="15" spans="1:17" x14ac:dyDescent="0.2">
      <c r="A15" s="12">
        <v>5231</v>
      </c>
      <c r="B15" s="69" t="s">
        <v>189</v>
      </c>
      <c r="C15" s="140"/>
      <c r="D15" s="14"/>
      <c r="E15" s="14"/>
      <c r="F15" s="14"/>
      <c r="G15" s="14">
        <v>91.8</v>
      </c>
      <c r="H15" s="14">
        <v>67.2</v>
      </c>
      <c r="I15" s="14">
        <v>79.599999999999994</v>
      </c>
      <c r="J15" s="15">
        <v>100</v>
      </c>
      <c r="K15" s="14">
        <v>58</v>
      </c>
      <c r="L15" s="15">
        <v>120</v>
      </c>
      <c r="M15" s="15"/>
    </row>
    <row r="16" spans="1:17" x14ac:dyDescent="0.2">
      <c r="A16" s="12">
        <v>5232</v>
      </c>
      <c r="B16" s="69" t="s">
        <v>190</v>
      </c>
      <c r="C16" s="140"/>
      <c r="D16" s="14"/>
      <c r="E16" s="14"/>
      <c r="F16" s="14"/>
      <c r="G16" s="14"/>
      <c r="H16" s="14">
        <v>563.04</v>
      </c>
      <c r="I16" s="14">
        <v>367.88</v>
      </c>
      <c r="J16" s="15">
        <v>1020</v>
      </c>
      <c r="K16" s="14">
        <v>228.64</v>
      </c>
      <c r="L16" s="15">
        <v>455</v>
      </c>
      <c r="M16" s="15"/>
    </row>
    <row r="17" spans="1:18" x14ac:dyDescent="0.2">
      <c r="A17" s="12">
        <v>5242</v>
      </c>
      <c r="B17" s="69" t="s">
        <v>192</v>
      </c>
      <c r="C17" s="140">
        <v>545.99</v>
      </c>
      <c r="D17" s="14">
        <v>2105</v>
      </c>
      <c r="E17" s="14">
        <v>2382</v>
      </c>
      <c r="F17" s="14">
        <v>988.18</v>
      </c>
      <c r="G17" s="14">
        <v>7888.47</v>
      </c>
      <c r="H17" s="14">
        <v>2341.9899999999998</v>
      </c>
      <c r="I17" s="14">
        <v>1901</v>
      </c>
      <c r="J17" s="15">
        <v>2000</v>
      </c>
      <c r="K17" s="14">
        <v>420.27</v>
      </c>
      <c r="L17" s="15">
        <v>2000</v>
      </c>
      <c r="M17" s="15"/>
    </row>
    <row r="18" spans="1:18" x14ac:dyDescent="0.2">
      <c r="A18" s="12">
        <v>5251</v>
      </c>
      <c r="B18" s="69" t="s">
        <v>162</v>
      </c>
      <c r="C18" s="140">
        <v>149</v>
      </c>
      <c r="D18" s="14">
        <v>156.53</v>
      </c>
      <c r="E18" s="14">
        <v>244.8</v>
      </c>
      <c r="F18" s="14">
        <v>1950.99</v>
      </c>
      <c r="G18" s="14">
        <v>86.97</v>
      </c>
      <c r="H18" s="14">
        <v>842</v>
      </c>
      <c r="I18" s="14">
        <v>89.99</v>
      </c>
      <c r="J18" s="15">
        <v>850</v>
      </c>
      <c r="K18" s="14">
        <v>479.98</v>
      </c>
      <c r="L18" s="15">
        <v>850</v>
      </c>
      <c r="M18" s="15"/>
    </row>
    <row r="19" spans="1:18" x14ac:dyDescent="0.2">
      <c r="A19" s="12">
        <v>5279</v>
      </c>
      <c r="B19" s="13" t="s">
        <v>1215</v>
      </c>
      <c r="C19" s="14">
        <v>3920</v>
      </c>
      <c r="D19" s="14">
        <v>3690</v>
      </c>
      <c r="E19" s="14">
        <v>2650</v>
      </c>
      <c r="F19" s="14">
        <v>2640</v>
      </c>
      <c r="G19" s="14">
        <v>913.5</v>
      </c>
      <c r="H19" s="14">
        <v>3436.5</v>
      </c>
      <c r="I19" s="14">
        <v>4705.25</v>
      </c>
      <c r="J19" s="15">
        <v>4524</v>
      </c>
      <c r="K19" s="14">
        <v>2044.5</v>
      </c>
      <c r="L19" s="15">
        <v>4770</v>
      </c>
      <c r="M19" s="15"/>
    </row>
    <row r="20" spans="1:18" x14ac:dyDescent="0.2">
      <c r="A20" s="12">
        <v>5344</v>
      </c>
      <c r="B20" s="13" t="s">
        <v>137</v>
      </c>
      <c r="C20" s="14">
        <v>272.74</v>
      </c>
      <c r="D20" s="14"/>
      <c r="E20" s="14">
        <v>386.06</v>
      </c>
      <c r="F20" s="14"/>
      <c r="G20" s="14"/>
      <c r="H20" s="14">
        <v>50</v>
      </c>
      <c r="I20" s="14"/>
      <c r="J20" s="15"/>
      <c r="K20" s="14"/>
      <c r="L20" s="15"/>
      <c r="M20" s="15"/>
    </row>
    <row r="21" spans="1:18" x14ac:dyDescent="0.2">
      <c r="A21" s="12">
        <v>5451</v>
      </c>
      <c r="B21" s="13" t="s">
        <v>197</v>
      </c>
      <c r="C21" s="14"/>
      <c r="D21" s="14"/>
      <c r="E21" s="14"/>
      <c r="F21" s="14"/>
      <c r="G21" s="14"/>
      <c r="H21" s="14">
        <v>198.99</v>
      </c>
      <c r="I21" s="14">
        <v>0</v>
      </c>
      <c r="J21" s="15">
        <v>200</v>
      </c>
      <c r="K21" s="14"/>
      <c r="L21" s="15">
        <v>200</v>
      </c>
      <c r="M21" s="15"/>
    </row>
    <row r="22" spans="1:18" x14ac:dyDescent="0.2">
      <c r="A22" s="12">
        <v>5586</v>
      </c>
      <c r="B22" s="13" t="s">
        <v>177</v>
      </c>
      <c r="C22" s="14"/>
      <c r="D22" s="14">
        <v>314.31</v>
      </c>
      <c r="E22" s="14">
        <v>1371.15</v>
      </c>
      <c r="F22" s="14">
        <v>930.03</v>
      </c>
      <c r="G22" s="14">
        <v>590.49</v>
      </c>
      <c r="H22" s="14">
        <v>684.99</v>
      </c>
      <c r="I22" s="14">
        <v>527.96</v>
      </c>
      <c r="J22" s="15">
        <v>800</v>
      </c>
      <c r="K22" s="14"/>
      <c r="L22" s="15">
        <v>500</v>
      </c>
      <c r="M22" s="15"/>
    </row>
    <row r="23" spans="1:18" ht="13.5" thickBot="1" x14ac:dyDescent="0.25">
      <c r="A23" s="12">
        <v>5710</v>
      </c>
      <c r="B23" s="13" t="s">
        <v>529</v>
      </c>
      <c r="C23" s="16">
        <v>205</v>
      </c>
      <c r="D23" s="16">
        <v>46.92</v>
      </c>
      <c r="E23" s="16"/>
      <c r="F23" s="16">
        <v>111.22</v>
      </c>
      <c r="G23" s="16">
        <v>29.16</v>
      </c>
      <c r="H23" s="16">
        <v>28.89</v>
      </c>
      <c r="I23" s="16">
        <v>0</v>
      </c>
      <c r="J23" s="17">
        <v>150</v>
      </c>
      <c r="K23" s="16">
        <v>144.09</v>
      </c>
      <c r="L23" s="17">
        <v>150</v>
      </c>
      <c r="M23" s="17"/>
    </row>
    <row r="24" spans="1:18" x14ac:dyDescent="0.2">
      <c r="A24" s="12"/>
      <c r="B24" s="18" t="s">
        <v>442</v>
      </c>
      <c r="C24" s="14">
        <f t="shared" ref="C24:K24" si="1">SUM(C13:C23)</f>
        <v>10270.25</v>
      </c>
      <c r="D24" s="14">
        <f t="shared" si="1"/>
        <v>11740.759999999998</v>
      </c>
      <c r="E24" s="14">
        <f t="shared" si="1"/>
        <v>12061.9</v>
      </c>
      <c r="F24" s="14">
        <f>SUM(F13:F23)</f>
        <v>11320.869999999999</v>
      </c>
      <c r="G24" s="14">
        <f>SUM(G13:G23)</f>
        <v>14569.88</v>
      </c>
      <c r="H24" s="14">
        <f>SUM(H13:H23)</f>
        <v>13742.739999999998</v>
      </c>
      <c r="I24" s="14">
        <f t="shared" si="1"/>
        <v>13444.600000000002</v>
      </c>
      <c r="J24" s="15">
        <f>SUM(J13:J23)</f>
        <v>14144</v>
      </c>
      <c r="K24" s="14">
        <f t="shared" si="1"/>
        <v>5574.12</v>
      </c>
      <c r="L24" s="15">
        <f>SUM(L13:L23)</f>
        <v>14145</v>
      </c>
      <c r="M24" s="15">
        <f>SUM(M13:M23)</f>
        <v>0</v>
      </c>
    </row>
    <row r="25" spans="1:18" x14ac:dyDescent="0.2">
      <c r="A25" s="12"/>
      <c r="B25" s="13"/>
      <c r="C25" s="14"/>
      <c r="D25" s="14"/>
      <c r="E25" s="14"/>
      <c r="F25" s="14"/>
      <c r="G25" s="14"/>
      <c r="H25" s="14"/>
      <c r="I25" s="14"/>
      <c r="J25" s="15"/>
      <c r="K25" s="14"/>
      <c r="L25" s="15"/>
      <c r="M25" s="15"/>
    </row>
    <row r="26" spans="1:18" ht="13.5" thickBot="1" x14ac:dyDescent="0.25">
      <c r="A26" s="21"/>
      <c r="B26" s="22" t="s">
        <v>306</v>
      </c>
      <c r="C26" s="23">
        <f t="shared" ref="C26:K26" si="2">+C24+C11</f>
        <v>27212.79</v>
      </c>
      <c r="D26" s="23">
        <f t="shared" si="2"/>
        <v>36745</v>
      </c>
      <c r="E26" s="23">
        <f t="shared" si="2"/>
        <v>37843.519999999997</v>
      </c>
      <c r="F26" s="23">
        <f>+F24+F11</f>
        <v>38245.67</v>
      </c>
      <c r="G26" s="23">
        <f>+G24+G11</f>
        <v>42457.31</v>
      </c>
      <c r="H26" s="23">
        <f>+H24+H11</f>
        <v>42878.82</v>
      </c>
      <c r="I26" s="23">
        <f t="shared" si="2"/>
        <v>43889</v>
      </c>
      <c r="J26" s="24">
        <f>+J24+J11</f>
        <v>46031</v>
      </c>
      <c r="K26" s="23">
        <f t="shared" si="2"/>
        <v>20889.62</v>
      </c>
      <c r="L26" s="24">
        <f>+L24+L11</f>
        <v>46980</v>
      </c>
      <c r="M26" s="24">
        <f>+L26</f>
        <v>46980</v>
      </c>
    </row>
    <row r="27" spans="1:18" ht="16.5" thickTop="1" x14ac:dyDescent="0.25">
      <c r="A27" s="4"/>
      <c r="B27" s="4"/>
      <c r="C27" s="25"/>
      <c r="D27" s="25"/>
      <c r="E27" s="25"/>
      <c r="F27" s="25"/>
      <c r="G27" s="25"/>
      <c r="H27" s="25"/>
      <c r="I27" s="25"/>
      <c r="J27" s="25"/>
      <c r="K27" s="29"/>
      <c r="L27" s="25"/>
      <c r="M27" s="84"/>
      <c r="N27" s="25"/>
      <c r="O27" s="29"/>
      <c r="P27" s="214"/>
      <c r="Q27" s="29"/>
    </row>
    <row r="28" spans="1:18" x14ac:dyDescent="0.2">
      <c r="A28" s="4"/>
      <c r="B28" s="4" t="s">
        <v>521</v>
      </c>
      <c r="C28" s="25"/>
      <c r="K28" s="1"/>
      <c r="L28"/>
      <c r="M28" s="84"/>
      <c r="N28" s="29"/>
      <c r="O28" s="1"/>
      <c r="R28"/>
    </row>
    <row r="29" spans="1:18" ht="13.5" thickBot="1" x14ac:dyDescent="0.25">
      <c r="A29" s="4"/>
      <c r="B29" s="4"/>
      <c r="C29" s="25"/>
      <c r="K29" s="1"/>
      <c r="L29"/>
      <c r="M29"/>
      <c r="N29"/>
      <c r="O29" s="1"/>
      <c r="R29"/>
    </row>
    <row r="30" spans="1:18" ht="13.5" thickTop="1" x14ac:dyDescent="0.2">
      <c r="A30" s="162" t="s">
        <v>883</v>
      </c>
      <c r="B30" s="114"/>
      <c r="H30" s="162" t="s">
        <v>84</v>
      </c>
      <c r="I30" s="169" t="s">
        <v>574</v>
      </c>
      <c r="J30" s="182" t="s">
        <v>579</v>
      </c>
      <c r="K30" s="171" t="s">
        <v>578</v>
      </c>
      <c r="L30"/>
      <c r="M30" s="220" t="s">
        <v>336</v>
      </c>
      <c r="N30"/>
    </row>
    <row r="31" spans="1:18" ht="13.5" thickBot="1" x14ac:dyDescent="0.25">
      <c r="A31" s="392" t="s">
        <v>884</v>
      </c>
      <c r="B31" s="116" t="s">
        <v>522</v>
      </c>
      <c r="H31" s="173" t="s">
        <v>577</v>
      </c>
      <c r="I31" s="172" t="s">
        <v>575</v>
      </c>
      <c r="J31" s="173" t="s">
        <v>573</v>
      </c>
      <c r="K31" s="173" t="s">
        <v>101</v>
      </c>
      <c r="L31" s="246" t="s">
        <v>335</v>
      </c>
      <c r="M31" s="246" t="s">
        <v>900</v>
      </c>
      <c r="N31" s="246" t="s">
        <v>337</v>
      </c>
    </row>
    <row r="32" spans="1:18" ht="13.5" thickTop="1" x14ac:dyDescent="0.2">
      <c r="A32" s="185">
        <v>40009</v>
      </c>
      <c r="B32" s="69" t="s">
        <v>55</v>
      </c>
      <c r="H32" s="14" t="s">
        <v>1346</v>
      </c>
      <c r="I32" s="14">
        <f>+'NAGE &amp; Non-Union Wages'!I18</f>
        <v>36.229999999999997</v>
      </c>
      <c r="J32" s="15">
        <v>892.5</v>
      </c>
      <c r="K32" s="180">
        <f>ROUND((+I32*J32),2)</f>
        <v>32335.279999999999</v>
      </c>
      <c r="L32" s="185">
        <v>40009</v>
      </c>
      <c r="M32">
        <v>11</v>
      </c>
      <c r="N32" s="2">
        <v>500</v>
      </c>
    </row>
    <row r="33" spans="1:18" x14ac:dyDescent="0.2">
      <c r="A33" s="4"/>
      <c r="B33" s="4" t="s">
        <v>689</v>
      </c>
      <c r="C33" s="25"/>
      <c r="D33" s="25"/>
      <c r="E33" s="25"/>
      <c r="G33" s="25"/>
      <c r="H33" s="25"/>
      <c r="I33" s="25"/>
      <c r="J33" s="25"/>
      <c r="K33" s="29"/>
      <c r="L33" s="25"/>
      <c r="M33" s="25"/>
      <c r="N33" s="25"/>
      <c r="O33" s="29"/>
      <c r="P33" s="29"/>
      <c r="Q33" s="29"/>
    </row>
    <row r="34" spans="1:18" ht="13.5" thickBot="1" x14ac:dyDescent="0.25">
      <c r="A34" s="4"/>
      <c r="B34" s="4"/>
      <c r="C34" s="25"/>
      <c r="D34" s="25"/>
      <c r="E34" s="25"/>
      <c r="G34" s="25"/>
      <c r="H34" s="25"/>
      <c r="I34" s="25"/>
      <c r="J34" s="25"/>
      <c r="K34" s="29"/>
      <c r="L34" s="25"/>
      <c r="M34" s="25"/>
      <c r="N34" s="25"/>
      <c r="O34" s="29"/>
      <c r="P34" s="29"/>
      <c r="Q34" s="29"/>
    </row>
    <row r="35" spans="1:18" ht="13.5" thickTop="1" x14ac:dyDescent="0.2">
      <c r="A35" s="517"/>
      <c r="B35" s="518"/>
      <c r="C35" s="519" t="s">
        <v>122</v>
      </c>
      <c r="D35" s="520" t="s">
        <v>122</v>
      </c>
      <c r="E35" s="520" t="s">
        <v>122</v>
      </c>
      <c r="H35" s="521" t="s">
        <v>542</v>
      </c>
      <c r="I35" s="522" t="s">
        <v>9</v>
      </c>
      <c r="J35" s="523" t="s">
        <v>1073</v>
      </c>
      <c r="K35" s="522" t="s">
        <v>682</v>
      </c>
      <c r="L35" s="524"/>
      <c r="M35" s="523"/>
      <c r="N35" s="25"/>
      <c r="O35" s="29"/>
      <c r="P35" s="29"/>
      <c r="Q35" s="29"/>
      <c r="R35"/>
    </row>
    <row r="36" spans="1:18" ht="13.5" thickBot="1" x14ac:dyDescent="0.25">
      <c r="A36" s="525" t="s">
        <v>123</v>
      </c>
      <c r="B36" s="526"/>
      <c r="C36" s="527" t="s">
        <v>334</v>
      </c>
      <c r="D36" s="527" t="s">
        <v>718</v>
      </c>
      <c r="E36" s="528" t="s">
        <v>734</v>
      </c>
      <c r="H36" s="529" t="s">
        <v>899</v>
      </c>
      <c r="I36" s="529" t="s">
        <v>900</v>
      </c>
      <c r="J36" s="528" t="s">
        <v>1075</v>
      </c>
      <c r="K36" s="530" t="s">
        <v>1075</v>
      </c>
      <c r="L36" s="531" t="s">
        <v>1074</v>
      </c>
      <c r="M36" s="529"/>
      <c r="N36" s="25"/>
      <c r="O36" s="29"/>
      <c r="P36" s="29"/>
      <c r="Q36" s="29"/>
      <c r="R36"/>
    </row>
    <row r="37" spans="1:18" ht="13.5" thickTop="1" x14ac:dyDescent="0.2">
      <c r="A37" s="548"/>
      <c r="B37" s="549"/>
      <c r="C37" s="536"/>
      <c r="D37" s="536"/>
      <c r="E37" s="536"/>
      <c r="H37" s="537"/>
      <c r="I37" s="536"/>
      <c r="J37" s="572"/>
      <c r="K37" s="545"/>
      <c r="L37" s="538"/>
      <c r="M37" s="539"/>
      <c r="N37" s="25"/>
      <c r="O37" s="29"/>
      <c r="P37" s="29"/>
      <c r="Q37" s="29"/>
      <c r="R37"/>
    </row>
    <row r="38" spans="1:18" x14ac:dyDescent="0.2">
      <c r="A38" s="551">
        <v>5113</v>
      </c>
      <c r="B38" s="577" t="s">
        <v>697</v>
      </c>
      <c r="C38" s="544">
        <v>16942.54</v>
      </c>
      <c r="D38" s="544">
        <v>25004.240000000002</v>
      </c>
      <c r="E38" s="544">
        <v>25781.62</v>
      </c>
      <c r="H38" s="543">
        <f>+J9</f>
        <v>31387</v>
      </c>
      <c r="I38" s="569">
        <f>+L9</f>
        <v>32335</v>
      </c>
      <c r="J38" s="572">
        <f t="shared" ref="J38:J50" si="3">+I38-H38</f>
        <v>948</v>
      </c>
      <c r="K38" s="545">
        <f t="shared" ref="K38:K50" si="4">IF(H38+I38&lt;&gt;0,IF(H38&lt;&gt;0,IF(J38&lt;&gt;0,ROUND((+J38/H38),4),""),1),"")</f>
        <v>3.0200000000000001E-2</v>
      </c>
      <c r="L38" s="538" t="s">
        <v>1541</v>
      </c>
      <c r="M38" s="539"/>
      <c r="N38" s="25"/>
      <c r="O38" s="29"/>
      <c r="P38" s="29"/>
      <c r="Q38" s="29"/>
      <c r="R38"/>
    </row>
    <row r="39" spans="1:18" ht="13.5" thickBot="1" x14ac:dyDescent="0.25">
      <c r="A39" s="551">
        <v>5144</v>
      </c>
      <c r="B39" s="549" t="s">
        <v>152</v>
      </c>
      <c r="C39" s="542"/>
      <c r="D39" s="542"/>
      <c r="E39" s="542"/>
      <c r="H39" s="543">
        <f>+J10</f>
        <v>500</v>
      </c>
      <c r="I39" s="569">
        <f>+L10</f>
        <v>500</v>
      </c>
      <c r="J39" s="572">
        <f t="shared" si="3"/>
        <v>0</v>
      </c>
      <c r="K39" s="545" t="str">
        <f t="shared" si="4"/>
        <v/>
      </c>
      <c r="L39" s="538"/>
      <c r="M39" s="539"/>
      <c r="N39" s="25"/>
      <c r="O39" s="29"/>
      <c r="P39" s="29"/>
      <c r="Q39" s="29"/>
      <c r="R39"/>
    </row>
    <row r="40" spans="1:18" x14ac:dyDescent="0.2">
      <c r="A40" s="551">
        <v>5211</v>
      </c>
      <c r="B40" s="540" t="s">
        <v>187</v>
      </c>
      <c r="C40" s="544">
        <v>3508.51</v>
      </c>
      <c r="D40" s="544">
        <v>3502.18</v>
      </c>
      <c r="E40" s="544">
        <v>3083.86</v>
      </c>
      <c r="H40" s="537">
        <f>+J13</f>
        <v>3000</v>
      </c>
      <c r="I40" s="569">
        <f t="shared" ref="I40:I50" si="5">+L13</f>
        <v>3600</v>
      </c>
      <c r="J40" s="572">
        <f t="shared" si="3"/>
        <v>600</v>
      </c>
      <c r="K40" s="545">
        <f t="shared" si="4"/>
        <v>0.2</v>
      </c>
      <c r="L40" s="538" t="s">
        <v>1542</v>
      </c>
      <c r="M40" s="539"/>
      <c r="N40" s="25"/>
      <c r="O40" s="29"/>
      <c r="P40" s="29"/>
      <c r="Q40" s="29"/>
      <c r="R40"/>
    </row>
    <row r="41" spans="1:18" x14ac:dyDescent="0.2">
      <c r="A41" s="551">
        <v>5214</v>
      </c>
      <c r="B41" s="540" t="s">
        <v>710</v>
      </c>
      <c r="C41" s="544">
        <v>1669.01</v>
      </c>
      <c r="D41" s="544">
        <v>1925.82</v>
      </c>
      <c r="E41" s="544">
        <v>1944.03</v>
      </c>
      <c r="H41" s="537">
        <f t="shared" ref="H41:H50" si="6">+J14</f>
        <v>1500</v>
      </c>
      <c r="I41" s="569">
        <f t="shared" si="5"/>
        <v>1500</v>
      </c>
      <c r="J41" s="572">
        <f t="shared" si="3"/>
        <v>0</v>
      </c>
      <c r="K41" s="545" t="str">
        <f t="shared" si="4"/>
        <v/>
      </c>
      <c r="L41" s="538"/>
      <c r="M41" s="539"/>
      <c r="N41" s="25"/>
      <c r="O41" s="29"/>
      <c r="P41" s="29"/>
      <c r="Q41" s="29"/>
      <c r="R41"/>
    </row>
    <row r="42" spans="1:18" x14ac:dyDescent="0.2">
      <c r="A42" s="551">
        <v>5231</v>
      </c>
      <c r="B42" s="540" t="s">
        <v>189</v>
      </c>
      <c r="C42" s="544"/>
      <c r="D42" s="544"/>
      <c r="E42" s="544"/>
      <c r="H42" s="537">
        <f t="shared" si="6"/>
        <v>100</v>
      </c>
      <c r="I42" s="569">
        <f t="shared" si="5"/>
        <v>120</v>
      </c>
      <c r="J42" s="572">
        <f t="shared" si="3"/>
        <v>20</v>
      </c>
      <c r="K42" s="545">
        <f t="shared" si="4"/>
        <v>0.2</v>
      </c>
      <c r="L42" s="538" t="s">
        <v>1542</v>
      </c>
      <c r="M42" s="539"/>
      <c r="N42" s="25"/>
      <c r="O42" s="29"/>
      <c r="P42" s="29"/>
      <c r="Q42" s="29"/>
      <c r="R42"/>
    </row>
    <row r="43" spans="1:18" x14ac:dyDescent="0.2">
      <c r="A43" s="551">
        <v>5232</v>
      </c>
      <c r="B43" s="540" t="s">
        <v>190</v>
      </c>
      <c r="C43" s="544"/>
      <c r="D43" s="544"/>
      <c r="E43" s="544"/>
      <c r="H43" s="537">
        <f t="shared" si="6"/>
        <v>1020</v>
      </c>
      <c r="I43" s="569">
        <f t="shared" si="5"/>
        <v>455</v>
      </c>
      <c r="J43" s="572">
        <f t="shared" si="3"/>
        <v>-565</v>
      </c>
      <c r="K43" s="545">
        <f t="shared" si="4"/>
        <v>-0.55389999999999995</v>
      </c>
      <c r="L43" s="538" t="s">
        <v>1542</v>
      </c>
      <c r="M43" s="539"/>
      <c r="N43" s="25"/>
      <c r="O43" s="29"/>
      <c r="P43" s="29"/>
      <c r="Q43" s="29"/>
      <c r="R43"/>
    </row>
    <row r="44" spans="1:18" x14ac:dyDescent="0.2">
      <c r="A44" s="551">
        <v>5242</v>
      </c>
      <c r="B44" s="540" t="s">
        <v>192</v>
      </c>
      <c r="C44" s="544">
        <v>545.99</v>
      </c>
      <c r="D44" s="544">
        <v>2105</v>
      </c>
      <c r="E44" s="544">
        <v>2382</v>
      </c>
      <c r="H44" s="537">
        <f t="shared" si="6"/>
        <v>2000</v>
      </c>
      <c r="I44" s="569">
        <f t="shared" si="5"/>
        <v>2000</v>
      </c>
      <c r="J44" s="572">
        <f t="shared" si="3"/>
        <v>0</v>
      </c>
      <c r="K44" s="545" t="str">
        <f t="shared" si="4"/>
        <v/>
      </c>
      <c r="L44" s="538"/>
      <c r="M44" s="539"/>
      <c r="N44" s="25"/>
      <c r="O44" s="29"/>
      <c r="P44" s="29"/>
      <c r="Q44" s="29"/>
      <c r="R44"/>
    </row>
    <row r="45" spans="1:18" x14ac:dyDescent="0.2">
      <c r="A45" s="551">
        <v>5251</v>
      </c>
      <c r="B45" s="540" t="s">
        <v>162</v>
      </c>
      <c r="C45" s="544">
        <v>149</v>
      </c>
      <c r="D45" s="544">
        <v>156.53</v>
      </c>
      <c r="E45" s="544">
        <v>244.8</v>
      </c>
      <c r="H45" s="537">
        <f t="shared" si="6"/>
        <v>850</v>
      </c>
      <c r="I45" s="569">
        <f t="shared" si="5"/>
        <v>850</v>
      </c>
      <c r="J45" s="572">
        <f t="shared" si="3"/>
        <v>0</v>
      </c>
      <c r="K45" s="545" t="str">
        <f t="shared" si="4"/>
        <v/>
      </c>
      <c r="L45" s="538"/>
      <c r="M45" s="539"/>
      <c r="N45" s="25"/>
      <c r="O45" s="29"/>
      <c r="P45" s="29"/>
      <c r="Q45" s="29"/>
      <c r="R45"/>
    </row>
    <row r="46" spans="1:18" x14ac:dyDescent="0.2">
      <c r="A46" s="551">
        <v>5279</v>
      </c>
      <c r="B46" s="540" t="s">
        <v>530</v>
      </c>
      <c r="C46" s="544">
        <v>3920</v>
      </c>
      <c r="D46" s="544">
        <v>3690</v>
      </c>
      <c r="E46" s="544">
        <v>2650</v>
      </c>
      <c r="H46" s="537">
        <f t="shared" si="6"/>
        <v>4524</v>
      </c>
      <c r="I46" s="569">
        <f t="shared" si="5"/>
        <v>4770</v>
      </c>
      <c r="J46" s="572">
        <f t="shared" si="3"/>
        <v>246</v>
      </c>
      <c r="K46" s="545">
        <f t="shared" si="4"/>
        <v>5.4399999999999997E-2</v>
      </c>
      <c r="L46" s="538" t="s">
        <v>1543</v>
      </c>
      <c r="M46" s="539"/>
      <c r="N46" s="25"/>
      <c r="O46" s="29"/>
      <c r="P46" s="29"/>
      <c r="Q46" s="29"/>
      <c r="R46"/>
    </row>
    <row r="47" spans="1:18" x14ac:dyDescent="0.2">
      <c r="A47" s="551">
        <v>5344</v>
      </c>
      <c r="B47" s="540" t="s">
        <v>137</v>
      </c>
      <c r="C47" s="544">
        <v>272.74</v>
      </c>
      <c r="D47" s="544"/>
      <c r="E47" s="544">
        <v>386.06</v>
      </c>
      <c r="H47" s="537">
        <f t="shared" si="6"/>
        <v>0</v>
      </c>
      <c r="I47" s="569">
        <f t="shared" si="5"/>
        <v>0</v>
      </c>
      <c r="J47" s="572">
        <f t="shared" si="3"/>
        <v>0</v>
      </c>
      <c r="K47" s="545" t="str">
        <f t="shared" si="4"/>
        <v/>
      </c>
      <c r="L47" s="538"/>
      <c r="M47" s="539"/>
      <c r="N47" s="25"/>
      <c r="O47" s="29"/>
      <c r="P47" s="29"/>
      <c r="Q47" s="29"/>
      <c r="R47"/>
    </row>
    <row r="48" spans="1:18" x14ac:dyDescent="0.2">
      <c r="A48" s="551">
        <v>5451</v>
      </c>
      <c r="B48" s="540" t="s">
        <v>197</v>
      </c>
      <c r="C48" s="544"/>
      <c r="D48" s="544"/>
      <c r="E48" s="544"/>
      <c r="H48" s="537">
        <f t="shared" si="6"/>
        <v>200</v>
      </c>
      <c r="I48" s="569">
        <f t="shared" si="5"/>
        <v>200</v>
      </c>
      <c r="J48" s="572">
        <f t="shared" si="3"/>
        <v>0</v>
      </c>
      <c r="K48" s="545" t="str">
        <f t="shared" si="4"/>
        <v/>
      </c>
      <c r="L48" s="538"/>
      <c r="M48" s="539"/>
      <c r="N48" s="25"/>
      <c r="O48" s="4"/>
      <c r="P48" s="4" t="s">
        <v>1270</v>
      </c>
      <c r="Q48" s="4"/>
      <c r="R48"/>
    </row>
    <row r="49" spans="1:18" x14ac:dyDescent="0.2">
      <c r="A49" s="551">
        <v>5586</v>
      </c>
      <c r="B49" s="540" t="s">
        <v>177</v>
      </c>
      <c r="C49" s="544"/>
      <c r="D49" s="544">
        <v>314.31</v>
      </c>
      <c r="E49" s="544">
        <v>1371.15</v>
      </c>
      <c r="H49" s="537">
        <f t="shared" si="6"/>
        <v>800</v>
      </c>
      <c r="I49" s="569">
        <f t="shared" si="5"/>
        <v>500</v>
      </c>
      <c r="J49" s="572">
        <f t="shared" si="3"/>
        <v>-300</v>
      </c>
      <c r="K49" s="545">
        <f t="shared" si="4"/>
        <v>-0.375</v>
      </c>
      <c r="L49" s="538" t="s">
        <v>1544</v>
      </c>
      <c r="M49" s="539"/>
      <c r="N49" s="25"/>
      <c r="O49" s="4"/>
      <c r="P49" s="4"/>
      <c r="Q49" s="4"/>
      <c r="R49"/>
    </row>
    <row r="50" spans="1:18" ht="13.5" thickBot="1" x14ac:dyDescent="0.25">
      <c r="A50" s="551">
        <v>5710</v>
      </c>
      <c r="B50" s="540" t="s">
        <v>529</v>
      </c>
      <c r="C50" s="542">
        <v>205</v>
      </c>
      <c r="D50" s="542">
        <v>46.92</v>
      </c>
      <c r="E50" s="542"/>
      <c r="H50" s="537">
        <f t="shared" si="6"/>
        <v>150</v>
      </c>
      <c r="I50" s="569">
        <f t="shared" si="5"/>
        <v>150</v>
      </c>
      <c r="J50" s="572">
        <f t="shared" si="3"/>
        <v>0</v>
      </c>
      <c r="K50" s="545" t="str">
        <f t="shared" si="4"/>
        <v/>
      </c>
      <c r="L50" s="538"/>
      <c r="M50" s="539"/>
      <c r="N50" s="25"/>
      <c r="O50" s="4"/>
      <c r="P50" s="4"/>
      <c r="Q50" s="4"/>
      <c r="R50"/>
    </row>
    <row r="51" spans="1:18" x14ac:dyDescent="0.2">
      <c r="A51" s="4"/>
      <c r="B51" s="4"/>
      <c r="C51" s="25"/>
      <c r="D51" s="25"/>
      <c r="E51" s="25"/>
      <c r="F51" s="25"/>
      <c r="G51" s="25"/>
      <c r="H51" s="25"/>
      <c r="I51" s="25"/>
      <c r="J51" s="25"/>
      <c r="K51" s="4"/>
      <c r="L51" s="25"/>
      <c r="M51" s="25"/>
      <c r="N51" s="25"/>
      <c r="O51" s="4"/>
      <c r="P51" s="4"/>
      <c r="Q51" s="4"/>
      <c r="R51"/>
    </row>
    <row r="52" spans="1:18" x14ac:dyDescent="0.2">
      <c r="A52" s="4"/>
      <c r="B52" s="4" t="s">
        <v>1600</v>
      </c>
      <c r="C52" s="25"/>
      <c r="D52" s="25"/>
      <c r="E52" s="25"/>
      <c r="F52" s="25"/>
      <c r="G52" s="25"/>
      <c r="H52" s="849">
        <f>SUM(H38:H51)</f>
        <v>46031</v>
      </c>
      <c r="I52" s="849">
        <f>SUM(I38:I51)</f>
        <v>46980</v>
      </c>
      <c r="J52" s="208">
        <f t="shared" ref="J52" si="7">+I52-H52</f>
        <v>949</v>
      </c>
      <c r="K52" s="850">
        <f t="shared" ref="K52" si="8">IF(H52+I52&lt;&gt;0,IF(H52&lt;&gt;0,IF(J52&lt;&gt;0,ROUND((+J52/H52),4),""),1),"")</f>
        <v>2.06E-2</v>
      </c>
      <c r="L52" s="25"/>
      <c r="M52" s="25"/>
      <c r="N52" s="25"/>
      <c r="O52" s="4"/>
      <c r="P52" s="4"/>
      <c r="Q52" s="4"/>
      <c r="R52"/>
    </row>
    <row r="53" spans="1:18" x14ac:dyDescent="0.2">
      <c r="A53" s="4"/>
      <c r="B53" s="4"/>
      <c r="C53" s="25"/>
      <c r="D53" s="25"/>
      <c r="E53" s="25"/>
      <c r="F53" s="25"/>
      <c r="G53" s="25"/>
      <c r="H53" s="25"/>
      <c r="I53" s="25"/>
      <c r="J53" s="25"/>
      <c r="K53" s="4"/>
      <c r="L53" s="25"/>
      <c r="M53" s="25"/>
      <c r="N53" s="25"/>
      <c r="O53" s="4"/>
      <c r="P53" s="4"/>
      <c r="Q53" s="4"/>
      <c r="R53"/>
    </row>
    <row r="54" spans="1:18" x14ac:dyDescent="0.2">
      <c r="A54" s="4"/>
      <c r="B54" s="4"/>
      <c r="C54" s="25"/>
      <c r="D54" s="25"/>
      <c r="E54" s="25"/>
      <c r="F54" s="25"/>
      <c r="G54" s="25"/>
      <c r="H54" s="25"/>
      <c r="I54" s="25"/>
      <c r="J54" s="25"/>
      <c r="K54" s="4"/>
      <c r="L54" s="25"/>
      <c r="M54" s="25"/>
      <c r="N54" s="25"/>
      <c r="O54" s="4"/>
      <c r="P54" s="4"/>
      <c r="Q54" s="4"/>
      <c r="R54"/>
    </row>
    <row r="55" spans="1:18" x14ac:dyDescent="0.2">
      <c r="A55" s="4"/>
      <c r="B55" s="4"/>
      <c r="C55" s="25"/>
      <c r="D55" s="25"/>
      <c r="E55" s="25"/>
      <c r="F55" s="25"/>
      <c r="G55" s="25"/>
      <c r="H55" s="25"/>
      <c r="I55" s="25"/>
      <c r="J55" s="25"/>
      <c r="K55" s="4"/>
      <c r="L55" s="25"/>
      <c r="M55" s="25"/>
      <c r="N55" s="25"/>
      <c r="O55" s="4"/>
      <c r="P55" s="4"/>
      <c r="Q55" s="4"/>
      <c r="R55"/>
    </row>
    <row r="56" spans="1:18" x14ac:dyDescent="0.2">
      <c r="A56" s="4"/>
      <c r="B56" s="4"/>
      <c r="C56" s="25"/>
      <c r="D56" s="25"/>
      <c r="E56" s="25"/>
      <c r="F56" s="25"/>
      <c r="G56" s="25"/>
      <c r="H56" s="25"/>
      <c r="I56" s="25"/>
      <c r="J56" s="25"/>
      <c r="K56" s="4"/>
      <c r="L56" s="25"/>
      <c r="M56" s="25"/>
      <c r="N56" s="25"/>
      <c r="O56" s="4"/>
      <c r="P56" s="4"/>
      <c r="Q56" s="4"/>
      <c r="R56"/>
    </row>
    <row r="57" spans="1:18" x14ac:dyDescent="0.2">
      <c r="A57" s="4"/>
      <c r="B57" s="4"/>
      <c r="C57" s="25"/>
      <c r="D57" s="25"/>
      <c r="E57" s="25"/>
      <c r="F57" s="25"/>
      <c r="G57" s="25"/>
      <c r="H57" s="25"/>
      <c r="I57" s="25"/>
      <c r="J57" s="25"/>
      <c r="K57" s="4"/>
      <c r="L57" s="25"/>
      <c r="M57" s="25"/>
      <c r="N57" s="25"/>
      <c r="O57" s="4"/>
      <c r="P57" s="4"/>
      <c r="Q57" s="4"/>
      <c r="R57"/>
    </row>
    <row r="58" spans="1:18" x14ac:dyDescent="0.2">
      <c r="A58" s="4"/>
      <c r="B58" s="4"/>
      <c r="C58" s="25"/>
      <c r="D58" s="25"/>
      <c r="E58" s="25"/>
      <c r="F58" s="25"/>
      <c r="G58" s="25"/>
      <c r="H58" s="25"/>
      <c r="I58" s="25"/>
      <c r="J58" s="25"/>
      <c r="K58" s="4"/>
      <c r="L58" s="25"/>
      <c r="M58" s="25"/>
      <c r="N58" s="25"/>
      <c r="O58" s="4"/>
      <c r="P58" s="4"/>
      <c r="Q58" s="4"/>
      <c r="R58"/>
    </row>
    <row r="59" spans="1:18" x14ac:dyDescent="0.2">
      <c r="A59" s="4"/>
      <c r="B59" s="4"/>
      <c r="C59" s="25"/>
      <c r="D59" s="25"/>
      <c r="E59" s="25"/>
      <c r="F59" s="25"/>
      <c r="G59" s="25"/>
      <c r="H59" s="25"/>
      <c r="I59" s="25"/>
      <c r="J59" s="25"/>
      <c r="K59" s="4"/>
      <c r="L59" s="25"/>
      <c r="M59" s="25"/>
      <c r="N59" s="25"/>
      <c r="O59" s="4"/>
      <c r="P59" s="4"/>
      <c r="Q59" s="4"/>
      <c r="R59"/>
    </row>
    <row r="60" spans="1:18" x14ac:dyDescent="0.2">
      <c r="A60" s="4"/>
      <c r="B60" s="4"/>
      <c r="C60" s="25"/>
      <c r="D60" s="25"/>
      <c r="E60" s="25"/>
      <c r="F60" s="25"/>
      <c r="G60" s="25"/>
      <c r="H60" s="25"/>
      <c r="I60" s="25"/>
      <c r="J60" s="25"/>
      <c r="K60" s="4"/>
      <c r="L60" s="25"/>
      <c r="M60" s="25"/>
      <c r="N60" s="25"/>
      <c r="O60" s="4"/>
      <c r="P60" s="4"/>
      <c r="Q60" s="4"/>
      <c r="R60"/>
    </row>
    <row r="61" spans="1:18" x14ac:dyDescent="0.2">
      <c r="A61" s="4"/>
      <c r="B61" s="4"/>
      <c r="C61" s="25"/>
      <c r="D61" s="25"/>
      <c r="E61" s="25"/>
      <c r="F61" s="25"/>
      <c r="G61" s="25"/>
      <c r="H61" s="25"/>
      <c r="I61" s="25"/>
      <c r="J61" s="25"/>
      <c r="K61" s="4"/>
      <c r="L61" s="25"/>
      <c r="M61" s="25"/>
      <c r="N61" s="25"/>
      <c r="O61" s="4"/>
      <c r="P61" s="4"/>
      <c r="Q61" s="4"/>
      <c r="R61"/>
    </row>
    <row r="62" spans="1:18" x14ac:dyDescent="0.2">
      <c r="A62" s="4"/>
      <c r="B62" s="4"/>
      <c r="C62" s="25"/>
      <c r="D62" s="25"/>
      <c r="E62" s="25"/>
      <c r="F62" s="25"/>
      <c r="G62" s="25"/>
      <c r="H62" s="25"/>
      <c r="I62" s="25"/>
      <c r="J62" s="25"/>
      <c r="K62" s="4"/>
      <c r="L62" s="25"/>
      <c r="M62" s="25"/>
      <c r="N62" s="25"/>
      <c r="O62" s="4"/>
      <c r="P62" s="4"/>
      <c r="Q62" s="4"/>
      <c r="R62"/>
    </row>
    <row r="63" spans="1:18" x14ac:dyDescent="0.2">
      <c r="A63" s="4"/>
      <c r="B63" s="4"/>
      <c r="C63" s="25"/>
      <c r="D63" s="25"/>
      <c r="E63" s="25"/>
      <c r="F63" s="25"/>
      <c r="G63" s="25"/>
      <c r="H63" s="25"/>
      <c r="I63" s="25"/>
      <c r="J63" s="25"/>
      <c r="K63" s="4"/>
      <c r="L63" s="25"/>
      <c r="M63" s="25"/>
      <c r="N63" s="25"/>
      <c r="O63" s="4"/>
      <c r="P63" s="4"/>
      <c r="Q63" s="4"/>
      <c r="R63"/>
    </row>
    <row r="64" spans="1:18" x14ac:dyDescent="0.2">
      <c r="A64" s="4"/>
      <c r="B64" s="4"/>
      <c r="C64" s="25"/>
      <c r="D64" s="25"/>
      <c r="E64" s="25"/>
      <c r="F64" s="25"/>
      <c r="G64" s="25"/>
      <c r="H64" s="25"/>
      <c r="I64" s="25"/>
      <c r="J64" s="25"/>
      <c r="K64" s="4"/>
      <c r="L64" s="25"/>
      <c r="M64" s="25"/>
      <c r="N64" s="25"/>
      <c r="O64" s="4"/>
      <c r="P64" s="4"/>
      <c r="Q64" s="4"/>
      <c r="R64"/>
    </row>
    <row r="65" spans="1:18" x14ac:dyDescent="0.2">
      <c r="A65" s="4"/>
      <c r="B65" s="4"/>
      <c r="C65" s="25"/>
      <c r="D65" s="25"/>
      <c r="E65" s="25"/>
      <c r="F65" s="25"/>
      <c r="G65" s="25"/>
      <c r="H65" s="25"/>
      <c r="I65" s="25"/>
      <c r="J65" s="25"/>
      <c r="K65" s="4"/>
      <c r="L65" s="25"/>
      <c r="M65" s="25"/>
      <c r="N65" s="25"/>
      <c r="O65" s="4"/>
      <c r="P65" s="4"/>
      <c r="Q65" s="4"/>
      <c r="R65"/>
    </row>
    <row r="66" spans="1:18" x14ac:dyDescent="0.2">
      <c r="A66" s="4"/>
      <c r="B66" s="4"/>
      <c r="C66" s="25"/>
      <c r="D66" s="25"/>
      <c r="E66" s="25"/>
      <c r="F66" s="25"/>
      <c r="G66" s="25"/>
      <c r="H66" s="25"/>
      <c r="I66" s="25"/>
      <c r="J66" s="25"/>
      <c r="K66" s="4"/>
      <c r="L66" s="25"/>
      <c r="M66" s="25"/>
      <c r="N66" s="25"/>
      <c r="O66" s="4"/>
      <c r="P66" s="4"/>
      <c r="Q66" s="4"/>
      <c r="R66"/>
    </row>
    <row r="67" spans="1:18" x14ac:dyDescent="0.2">
      <c r="A67" s="4"/>
      <c r="B67" s="4"/>
      <c r="C67" s="25"/>
      <c r="D67" s="25"/>
      <c r="E67" s="25"/>
      <c r="F67" s="25"/>
      <c r="G67" s="25"/>
      <c r="H67" s="25"/>
      <c r="I67" s="25"/>
      <c r="J67" s="25"/>
      <c r="K67" s="4"/>
      <c r="L67" s="25"/>
      <c r="M67" s="25"/>
      <c r="N67" s="25"/>
      <c r="O67" s="4"/>
      <c r="P67" s="4"/>
      <c r="Q67" s="4"/>
      <c r="R67"/>
    </row>
    <row r="68" spans="1:18" x14ac:dyDescent="0.2">
      <c r="A68" s="4"/>
      <c r="B68" s="4"/>
      <c r="C68" s="25"/>
      <c r="D68" s="25"/>
      <c r="E68" s="25"/>
      <c r="F68" s="25"/>
      <c r="G68" s="25"/>
      <c r="H68" s="25"/>
      <c r="I68" s="25"/>
      <c r="J68" s="25"/>
      <c r="K68" s="4"/>
      <c r="L68" s="25"/>
      <c r="M68" s="25"/>
      <c r="N68" s="25"/>
      <c r="O68" s="4"/>
      <c r="P68" s="4"/>
      <c r="Q68" s="4"/>
      <c r="R68"/>
    </row>
    <row r="69" spans="1:18" x14ac:dyDescent="0.2">
      <c r="A69" s="4"/>
      <c r="B69" s="4"/>
      <c r="C69" s="25"/>
      <c r="D69" s="25"/>
      <c r="E69" s="25"/>
      <c r="F69" s="25"/>
      <c r="G69" s="25"/>
      <c r="H69" s="25"/>
      <c r="I69" s="25"/>
      <c r="J69" s="25"/>
      <c r="K69" s="4"/>
      <c r="L69" s="25"/>
      <c r="M69" s="25"/>
      <c r="N69" s="25"/>
      <c r="O69" s="4"/>
      <c r="P69" s="4"/>
      <c r="Q69" s="4"/>
      <c r="R69"/>
    </row>
    <row r="70" spans="1:18" x14ac:dyDescent="0.2">
      <c r="A70" s="4"/>
      <c r="B70" s="4"/>
      <c r="C70" s="25"/>
      <c r="D70" s="25"/>
      <c r="E70" s="25"/>
      <c r="F70" s="25"/>
      <c r="G70" s="25"/>
      <c r="H70" s="25"/>
      <c r="I70" s="25"/>
      <c r="J70" s="25"/>
      <c r="K70" s="4"/>
      <c r="L70" s="25"/>
      <c r="M70" s="25"/>
      <c r="N70" s="25"/>
      <c r="O70" s="4"/>
      <c r="P70" s="4"/>
      <c r="Q70" s="4"/>
      <c r="R70"/>
    </row>
    <row r="71" spans="1:18" x14ac:dyDescent="0.2">
      <c r="A71" s="4"/>
      <c r="B71" s="4"/>
      <c r="C71" s="25"/>
      <c r="D71" s="25"/>
      <c r="E71" s="25"/>
      <c r="F71" s="25"/>
      <c r="G71" s="25"/>
      <c r="H71" s="25"/>
      <c r="I71" s="25"/>
      <c r="J71" s="25"/>
      <c r="K71" s="4"/>
      <c r="L71" s="25"/>
      <c r="M71" s="25"/>
      <c r="N71" s="25"/>
      <c r="O71" s="4"/>
      <c r="P71" s="4"/>
      <c r="Q71" s="4"/>
      <c r="R71"/>
    </row>
    <row r="72" spans="1:18" x14ac:dyDescent="0.2">
      <c r="A72" s="4"/>
      <c r="B72" s="4"/>
      <c r="C72" s="25"/>
      <c r="D72" s="25"/>
      <c r="E72" s="25"/>
      <c r="F72" s="25"/>
      <c r="G72" s="25"/>
      <c r="H72" s="25"/>
      <c r="I72" s="25"/>
      <c r="J72" s="25"/>
      <c r="K72" s="4"/>
      <c r="L72" s="25"/>
      <c r="M72" s="25"/>
      <c r="N72" s="25"/>
      <c r="O72" s="4"/>
      <c r="P72" s="4"/>
      <c r="Q72" s="4"/>
      <c r="R72"/>
    </row>
    <row r="73" spans="1:18" x14ac:dyDescent="0.2">
      <c r="A73" s="4"/>
      <c r="B73" s="4"/>
      <c r="C73" s="25"/>
      <c r="D73" s="25"/>
      <c r="E73" s="25"/>
      <c r="F73" s="25"/>
      <c r="G73" s="25"/>
      <c r="H73" s="25"/>
      <c r="I73" s="25"/>
      <c r="J73" s="25"/>
      <c r="K73" s="4"/>
      <c r="L73" s="25"/>
      <c r="M73" s="25"/>
      <c r="N73" s="25"/>
      <c r="O73" s="4"/>
      <c r="P73" s="4"/>
      <c r="Q73" s="4"/>
      <c r="R73"/>
    </row>
    <row r="74" spans="1:18" x14ac:dyDescent="0.2">
      <c r="A74" s="4"/>
      <c r="B74" s="4"/>
      <c r="C74" s="25"/>
      <c r="D74" s="25"/>
      <c r="E74" s="25"/>
      <c r="F74" s="25"/>
      <c r="G74" s="25"/>
      <c r="H74" s="25"/>
      <c r="I74" s="25"/>
      <c r="J74" s="25"/>
      <c r="K74" s="4"/>
      <c r="L74" s="25"/>
      <c r="M74" s="25"/>
      <c r="N74" s="25"/>
      <c r="O74" s="4"/>
      <c r="P74" s="4"/>
      <c r="Q74" s="4"/>
      <c r="R74"/>
    </row>
    <row r="75" spans="1:18" x14ac:dyDescent="0.2">
      <c r="A75" s="4"/>
      <c r="B75" s="4"/>
      <c r="C75" s="25"/>
      <c r="D75" s="25"/>
      <c r="E75" s="25"/>
      <c r="F75" s="25"/>
      <c r="G75" s="25"/>
      <c r="H75" s="25"/>
      <c r="I75" s="25"/>
      <c r="J75" s="25"/>
      <c r="K75" s="4"/>
      <c r="L75" s="25"/>
      <c r="M75" s="25"/>
      <c r="N75" s="25"/>
      <c r="O75" s="4"/>
      <c r="P75" s="4"/>
      <c r="Q75" s="4"/>
      <c r="R75"/>
    </row>
    <row r="76" spans="1:18" x14ac:dyDescent="0.2">
      <c r="A76" s="4"/>
      <c r="B76" s="4"/>
      <c r="C76" s="25"/>
      <c r="D76" s="25"/>
      <c r="E76" s="25"/>
      <c r="F76" s="25"/>
      <c r="G76" s="25"/>
      <c r="H76" s="25"/>
      <c r="I76" s="25"/>
      <c r="J76" s="25"/>
      <c r="K76" s="4"/>
      <c r="L76" s="25"/>
      <c r="M76" s="25"/>
      <c r="N76" s="25"/>
      <c r="O76" s="4"/>
      <c r="P76" s="4"/>
      <c r="Q76" s="4"/>
      <c r="R76"/>
    </row>
    <row r="77" spans="1:18" x14ac:dyDescent="0.2">
      <c r="A77" s="4"/>
      <c r="B77" s="4"/>
      <c r="C77" s="25"/>
      <c r="D77" s="25"/>
      <c r="E77" s="25"/>
      <c r="F77" s="25"/>
      <c r="G77" s="25"/>
      <c r="H77" s="25"/>
      <c r="I77" s="25"/>
      <c r="J77" s="25"/>
      <c r="K77" s="4"/>
      <c r="L77" s="25"/>
      <c r="M77" s="25"/>
      <c r="N77" s="25"/>
      <c r="O77" s="4"/>
      <c r="P77" s="4"/>
      <c r="Q77" s="4"/>
      <c r="R77"/>
    </row>
    <row r="78" spans="1:18" x14ac:dyDescent="0.2">
      <c r="A78" s="4"/>
      <c r="B78" s="4"/>
      <c r="C78" s="25"/>
      <c r="D78" s="25"/>
      <c r="E78" s="25"/>
      <c r="F78" s="25"/>
      <c r="G78" s="25"/>
      <c r="H78" s="25"/>
      <c r="I78" s="25"/>
      <c r="J78" s="25"/>
      <c r="K78" s="4"/>
      <c r="L78" s="25"/>
      <c r="M78" s="25"/>
      <c r="N78" s="25"/>
      <c r="O78" s="4"/>
      <c r="P78" s="4"/>
      <c r="Q78" s="4"/>
      <c r="R78"/>
    </row>
    <row r="79" spans="1:18" x14ac:dyDescent="0.2">
      <c r="A79" s="4"/>
      <c r="B79" s="4"/>
      <c r="C79" s="25"/>
      <c r="D79" s="25"/>
      <c r="E79" s="25"/>
      <c r="F79" s="25"/>
      <c r="G79" s="25"/>
      <c r="H79" s="25"/>
      <c r="I79" s="25"/>
      <c r="J79" s="25"/>
      <c r="K79" s="4"/>
      <c r="L79" s="25"/>
      <c r="M79" s="25"/>
      <c r="N79" s="25"/>
      <c r="O79" s="4"/>
      <c r="P79" s="4"/>
      <c r="Q79" s="4"/>
      <c r="R79"/>
    </row>
    <row r="80" spans="1:18" x14ac:dyDescent="0.2">
      <c r="A80" s="4"/>
      <c r="B80" s="4"/>
      <c r="C80" s="25"/>
      <c r="D80" s="25"/>
      <c r="E80" s="25"/>
      <c r="F80" s="25"/>
      <c r="G80" s="25"/>
      <c r="H80" s="25"/>
      <c r="I80" s="25"/>
      <c r="J80" s="25"/>
      <c r="K80" s="4"/>
      <c r="L80" s="25"/>
      <c r="M80" s="25"/>
      <c r="N80" s="25"/>
      <c r="O80" s="4"/>
      <c r="P80" s="4"/>
      <c r="Q80" s="4"/>
      <c r="R80"/>
    </row>
    <row r="81" spans="1:18" x14ac:dyDescent="0.2">
      <c r="A81" s="4"/>
      <c r="B81" s="4"/>
      <c r="C81" s="25"/>
      <c r="D81" s="25"/>
      <c r="E81" s="25"/>
      <c r="F81" s="25"/>
      <c r="G81" s="25"/>
      <c r="H81" s="25"/>
      <c r="I81" s="25"/>
      <c r="J81" s="25"/>
      <c r="K81" s="4"/>
      <c r="L81" s="25"/>
      <c r="M81" s="25"/>
      <c r="N81" s="25"/>
      <c r="O81" s="4"/>
      <c r="P81" s="4"/>
      <c r="Q81" s="4"/>
      <c r="R81"/>
    </row>
    <row r="82" spans="1:18" x14ac:dyDescent="0.2">
      <c r="A82" s="4"/>
      <c r="B82" s="4"/>
      <c r="C82" s="25"/>
      <c r="D82" s="25"/>
      <c r="E82" s="25"/>
      <c r="F82" s="25"/>
      <c r="G82" s="25"/>
      <c r="H82" s="25"/>
      <c r="I82" s="25"/>
      <c r="J82" s="25"/>
      <c r="K82" s="4"/>
      <c r="L82" s="25"/>
      <c r="M82" s="25"/>
      <c r="N82" s="25"/>
      <c r="O82" s="4"/>
      <c r="P82" s="4"/>
      <c r="Q82" s="4"/>
      <c r="R82"/>
    </row>
    <row r="83" spans="1:18" x14ac:dyDescent="0.2">
      <c r="A83" s="4"/>
      <c r="B83" s="4"/>
      <c r="C83" s="25"/>
      <c r="D83" s="25"/>
      <c r="E83" s="25"/>
      <c r="F83" s="25"/>
      <c r="G83" s="25"/>
      <c r="H83" s="25"/>
      <c r="I83" s="25"/>
      <c r="J83" s="25"/>
      <c r="K83" s="4"/>
      <c r="L83" s="25"/>
      <c r="M83" s="25"/>
      <c r="N83" s="25"/>
      <c r="O83" s="4"/>
      <c r="P83" s="4"/>
      <c r="Q83" s="4"/>
      <c r="R83"/>
    </row>
    <row r="84" spans="1:18" x14ac:dyDescent="0.2">
      <c r="A84" s="4"/>
      <c r="B84" s="4"/>
      <c r="C84" s="25"/>
      <c r="D84" s="25"/>
      <c r="E84" s="25"/>
      <c r="F84" s="25"/>
      <c r="G84" s="25"/>
      <c r="H84" s="25"/>
      <c r="I84" s="25"/>
      <c r="J84" s="25"/>
      <c r="K84" s="4"/>
      <c r="L84" s="25"/>
      <c r="M84" s="25"/>
      <c r="N84" s="25"/>
      <c r="O84" s="4"/>
      <c r="P84" s="4"/>
      <c r="Q84" s="4"/>
      <c r="R84"/>
    </row>
    <row r="85" spans="1:18" x14ac:dyDescent="0.2">
      <c r="A85" s="4"/>
      <c r="B85" s="4"/>
      <c r="C85" s="25"/>
      <c r="D85" s="25"/>
      <c r="E85" s="25"/>
      <c r="F85" s="25"/>
      <c r="G85" s="25"/>
      <c r="H85" s="25"/>
      <c r="I85" s="25"/>
      <c r="J85" s="25"/>
      <c r="K85" s="4"/>
      <c r="L85" s="25"/>
      <c r="M85" s="25"/>
      <c r="N85" s="25"/>
      <c r="O85" s="4"/>
      <c r="P85" s="4"/>
      <c r="Q85" s="4"/>
      <c r="R85"/>
    </row>
    <row r="86" spans="1:18" x14ac:dyDescent="0.2">
      <c r="A86" s="4"/>
      <c r="B86" s="4"/>
      <c r="C86" s="25"/>
      <c r="D86" s="25"/>
      <c r="E86" s="25"/>
      <c r="F86" s="25"/>
      <c r="G86" s="25"/>
      <c r="H86" s="25"/>
      <c r="I86" s="25"/>
      <c r="J86" s="25"/>
      <c r="K86" s="4"/>
      <c r="L86" s="25"/>
      <c r="M86" s="25"/>
      <c r="N86" s="25"/>
      <c r="O86" s="4"/>
      <c r="P86" s="4"/>
      <c r="Q86" s="4"/>
      <c r="R86"/>
    </row>
    <row r="87" spans="1:18" x14ac:dyDescent="0.2">
      <c r="A87" s="4"/>
      <c r="B87" s="4"/>
      <c r="C87" s="25"/>
      <c r="D87" s="25"/>
      <c r="E87" s="25"/>
      <c r="F87" s="25"/>
      <c r="G87" s="25"/>
      <c r="H87" s="25"/>
      <c r="I87" s="25"/>
      <c r="J87" s="25"/>
      <c r="K87" s="4"/>
      <c r="L87" s="25"/>
      <c r="M87" s="25"/>
      <c r="N87" s="25"/>
      <c r="O87" s="4"/>
      <c r="P87" s="4"/>
      <c r="Q87" s="4"/>
      <c r="R87"/>
    </row>
    <row r="88" spans="1:18" x14ac:dyDescent="0.2">
      <c r="A88" s="4"/>
      <c r="B88" s="4"/>
      <c r="C88" s="25"/>
      <c r="D88" s="25"/>
      <c r="E88" s="25"/>
      <c r="F88" s="25"/>
      <c r="G88" s="25"/>
      <c r="H88" s="25"/>
      <c r="I88" s="25"/>
      <c r="J88" s="25"/>
      <c r="K88" s="4"/>
      <c r="L88" s="25"/>
      <c r="M88" s="25"/>
      <c r="N88" s="25"/>
      <c r="O88" s="4"/>
      <c r="P88" s="4"/>
      <c r="Q88" s="4"/>
      <c r="R88"/>
    </row>
    <row r="89" spans="1:18" x14ac:dyDescent="0.2">
      <c r="A89" s="4"/>
      <c r="B89" s="4"/>
      <c r="C89" s="25"/>
      <c r="D89" s="25"/>
      <c r="E89" s="25"/>
      <c r="F89" s="25"/>
      <c r="G89" s="25"/>
      <c r="H89" s="25"/>
      <c r="I89" s="25"/>
      <c r="J89" s="25"/>
      <c r="K89" s="4"/>
      <c r="L89" s="25"/>
      <c r="M89" s="25"/>
      <c r="N89" s="25"/>
      <c r="O89" s="4"/>
      <c r="P89" s="4"/>
      <c r="Q89" s="4"/>
      <c r="R89"/>
    </row>
    <row r="90" spans="1:18" x14ac:dyDescent="0.2">
      <c r="A90" s="4"/>
      <c r="B90" s="4"/>
      <c r="C90" s="25"/>
      <c r="D90" s="25"/>
      <c r="E90" s="25"/>
      <c r="F90" s="25"/>
      <c r="G90" s="25"/>
      <c r="H90" s="25"/>
      <c r="I90" s="25"/>
      <c r="J90" s="25"/>
      <c r="K90" s="4"/>
      <c r="L90" s="25"/>
      <c r="M90" s="25"/>
      <c r="N90" s="25"/>
      <c r="O90" s="4"/>
      <c r="P90" s="4"/>
      <c r="Q90" s="4"/>
      <c r="R90"/>
    </row>
    <row r="91" spans="1:18" x14ac:dyDescent="0.2">
      <c r="A91" s="4"/>
      <c r="B91" s="4"/>
      <c r="C91" s="25"/>
      <c r="D91" s="25"/>
      <c r="E91" s="25"/>
      <c r="F91" s="25"/>
      <c r="G91" s="25"/>
      <c r="H91" s="25"/>
      <c r="I91" s="25"/>
      <c r="J91" s="25"/>
      <c r="K91" s="4"/>
      <c r="L91" s="25"/>
      <c r="M91" s="25"/>
      <c r="N91" s="25"/>
      <c r="O91" s="4"/>
      <c r="P91" s="4"/>
      <c r="Q91" s="4"/>
      <c r="R91"/>
    </row>
    <row r="92" spans="1:18" x14ac:dyDescent="0.2">
      <c r="A92" s="4"/>
      <c r="B92" s="4"/>
      <c r="C92" s="25"/>
      <c r="D92" s="25"/>
      <c r="E92" s="25"/>
      <c r="F92" s="25"/>
      <c r="G92" s="25"/>
      <c r="H92" s="25"/>
      <c r="I92" s="25"/>
      <c r="J92" s="25"/>
      <c r="K92" s="4"/>
      <c r="L92" s="25"/>
      <c r="M92" s="25"/>
      <c r="N92" s="25"/>
      <c r="O92" s="4"/>
      <c r="P92" s="4"/>
      <c r="Q92" s="4"/>
      <c r="R92"/>
    </row>
    <row r="93" spans="1:18" x14ac:dyDescent="0.2">
      <c r="A93" s="4"/>
      <c r="B93" s="4"/>
      <c r="C93" s="25"/>
      <c r="D93" s="25"/>
      <c r="E93" s="25"/>
      <c r="F93" s="25"/>
      <c r="G93" s="25"/>
      <c r="H93" s="25"/>
      <c r="I93" s="25"/>
      <c r="J93" s="25"/>
      <c r="K93" s="4"/>
      <c r="L93" s="25"/>
      <c r="M93" s="25"/>
      <c r="N93" s="25"/>
      <c r="O93" s="4"/>
      <c r="P93" s="4"/>
      <c r="Q93" s="4"/>
      <c r="R93"/>
    </row>
    <row r="94" spans="1:18" x14ac:dyDescent="0.2">
      <c r="A94" s="4"/>
      <c r="B94" s="4"/>
      <c r="C94" s="25"/>
      <c r="D94" s="25"/>
      <c r="E94" s="25"/>
      <c r="F94" s="25"/>
      <c r="G94" s="25"/>
      <c r="H94" s="25"/>
      <c r="I94" s="25"/>
      <c r="J94" s="25"/>
      <c r="K94" s="4"/>
      <c r="L94" s="25"/>
      <c r="M94" s="25"/>
      <c r="N94" s="25"/>
      <c r="O94" s="4"/>
      <c r="P94" s="4"/>
      <c r="Q94" s="4"/>
      <c r="R94"/>
    </row>
    <row r="95" spans="1:18" x14ac:dyDescent="0.2">
      <c r="A95" s="4"/>
      <c r="B95" s="4"/>
      <c r="C95" s="25"/>
      <c r="D95" s="25"/>
      <c r="E95" s="25"/>
      <c r="F95" s="25"/>
      <c r="G95" s="25"/>
      <c r="H95" s="25"/>
      <c r="I95" s="25"/>
      <c r="J95" s="25"/>
      <c r="K95" s="4"/>
      <c r="L95" s="25"/>
      <c r="M95" s="25"/>
      <c r="N95" s="25"/>
      <c r="O95" s="4"/>
      <c r="P95" s="4"/>
      <c r="Q95" s="4"/>
      <c r="R95"/>
    </row>
    <row r="96" spans="1:18" x14ac:dyDescent="0.2">
      <c r="A96" s="4"/>
      <c r="B96" s="4"/>
      <c r="C96" s="25"/>
      <c r="D96" s="25"/>
      <c r="E96" s="25"/>
      <c r="F96" s="25"/>
      <c r="G96" s="25"/>
      <c r="H96" s="25"/>
      <c r="I96" s="25"/>
      <c r="J96" s="25"/>
      <c r="K96" s="4"/>
      <c r="L96" s="25"/>
      <c r="M96" s="25"/>
      <c r="N96" s="25"/>
      <c r="O96" s="4"/>
      <c r="P96" s="4"/>
      <c r="Q96" s="4"/>
      <c r="R96"/>
    </row>
    <row r="97" spans="1:18" x14ac:dyDescent="0.2">
      <c r="A97" s="4"/>
      <c r="B97" s="4"/>
      <c r="C97" s="25"/>
      <c r="D97" s="25"/>
      <c r="E97" s="25"/>
      <c r="F97" s="25"/>
      <c r="G97" s="25"/>
      <c r="H97" s="25"/>
      <c r="I97" s="25"/>
      <c r="J97" s="25"/>
      <c r="K97" s="4"/>
      <c r="L97" s="25"/>
      <c r="M97" s="25"/>
      <c r="N97" s="25"/>
      <c r="O97" s="4"/>
      <c r="P97" s="4"/>
      <c r="Q97" s="4"/>
      <c r="R97"/>
    </row>
    <row r="98" spans="1:18" x14ac:dyDescent="0.2">
      <c r="A98" s="4"/>
      <c r="B98" s="4"/>
      <c r="C98" s="25"/>
      <c r="D98" s="25"/>
      <c r="E98" s="25"/>
      <c r="F98" s="25"/>
      <c r="G98" s="25"/>
      <c r="H98" s="25"/>
      <c r="I98" s="25"/>
      <c r="J98" s="25"/>
      <c r="K98" s="4"/>
      <c r="L98" s="25"/>
      <c r="M98" s="25"/>
      <c r="N98" s="25"/>
      <c r="O98" s="4"/>
      <c r="P98" s="4"/>
      <c r="Q98" s="4"/>
      <c r="R98"/>
    </row>
    <row r="99" spans="1:18" x14ac:dyDescent="0.2">
      <c r="A99" s="4"/>
      <c r="B99" s="4"/>
      <c r="C99" s="25"/>
      <c r="D99" s="25"/>
      <c r="E99" s="25"/>
      <c r="F99" s="25"/>
      <c r="G99" s="25"/>
      <c r="H99" s="25"/>
      <c r="I99" s="25"/>
      <c r="J99" s="25"/>
      <c r="K99" s="4"/>
      <c r="L99" s="25"/>
      <c r="M99" s="25"/>
      <c r="N99" s="25"/>
      <c r="O99" s="4"/>
      <c r="P99" s="4"/>
      <c r="Q99" s="4"/>
      <c r="R99"/>
    </row>
    <row r="100" spans="1:18" x14ac:dyDescent="0.2">
      <c r="A100" s="4"/>
      <c r="B100" s="4"/>
      <c r="C100" s="25"/>
      <c r="D100" s="25"/>
      <c r="E100" s="25"/>
      <c r="F100" s="25"/>
      <c r="G100" s="25"/>
      <c r="H100" s="25"/>
      <c r="I100" s="25"/>
      <c r="J100" s="25"/>
      <c r="K100" s="4"/>
      <c r="L100" s="25"/>
      <c r="M100" s="25"/>
      <c r="N100" s="25"/>
      <c r="O100" s="4"/>
      <c r="P100" s="4"/>
      <c r="Q100" s="4"/>
      <c r="R100"/>
    </row>
    <row r="101" spans="1:18" x14ac:dyDescent="0.2">
      <c r="A101" s="4"/>
      <c r="B101" s="4"/>
      <c r="C101" s="25"/>
      <c r="D101" s="25"/>
      <c r="E101" s="25"/>
      <c r="F101" s="25"/>
      <c r="G101" s="25"/>
      <c r="H101" s="25"/>
      <c r="I101" s="25"/>
      <c r="J101" s="25"/>
      <c r="K101" s="4"/>
      <c r="L101" s="25"/>
      <c r="M101" s="25"/>
      <c r="N101" s="25"/>
      <c r="O101" s="4"/>
      <c r="P101" s="4"/>
      <c r="Q101" s="4"/>
      <c r="R101"/>
    </row>
    <row r="102" spans="1:18" x14ac:dyDescent="0.2">
      <c r="A102" s="4"/>
      <c r="B102" s="4"/>
      <c r="C102" s="25"/>
      <c r="D102" s="25"/>
      <c r="E102" s="25"/>
      <c r="F102" s="25"/>
      <c r="G102" s="25"/>
      <c r="H102" s="25"/>
      <c r="I102" s="25"/>
      <c r="J102" s="25"/>
      <c r="K102" s="4"/>
      <c r="L102" s="25"/>
      <c r="M102" s="25"/>
      <c r="N102" s="25"/>
      <c r="O102" s="4"/>
      <c r="P102" s="4"/>
      <c r="Q102" s="4"/>
      <c r="R102"/>
    </row>
    <row r="103" spans="1:18" x14ac:dyDescent="0.2">
      <c r="A103" s="4"/>
      <c r="B103" s="4"/>
      <c r="C103" s="25"/>
      <c r="D103" s="25"/>
      <c r="E103" s="25"/>
      <c r="F103" s="25"/>
      <c r="G103" s="25"/>
      <c r="H103" s="25"/>
      <c r="I103" s="25"/>
      <c r="J103" s="25"/>
      <c r="K103" s="4"/>
      <c r="L103" s="25"/>
      <c r="M103" s="25"/>
      <c r="N103" s="25"/>
      <c r="O103" s="4"/>
      <c r="P103" s="4"/>
      <c r="Q103" s="4"/>
      <c r="R103"/>
    </row>
    <row r="104" spans="1:18" x14ac:dyDescent="0.2">
      <c r="A104" s="4"/>
      <c r="B104" s="4"/>
      <c r="C104" s="25"/>
      <c r="D104" s="25"/>
      <c r="E104" s="25"/>
      <c r="F104" s="25"/>
      <c r="G104" s="25"/>
      <c r="H104" s="25"/>
      <c r="I104" s="25"/>
      <c r="J104" s="25"/>
      <c r="K104" s="4"/>
      <c r="L104" s="25"/>
      <c r="M104" s="25"/>
      <c r="N104" s="25"/>
      <c r="O104" s="4"/>
      <c r="P104" s="4"/>
      <c r="Q104" s="4"/>
      <c r="R104"/>
    </row>
    <row r="105" spans="1:18" x14ac:dyDescent="0.2">
      <c r="A105" s="4"/>
      <c r="B105" s="4"/>
      <c r="C105" s="25"/>
      <c r="D105" s="25"/>
      <c r="E105" s="25"/>
      <c r="F105" s="25"/>
      <c r="G105" s="25"/>
      <c r="H105" s="25"/>
      <c r="I105" s="25"/>
      <c r="J105" s="25"/>
      <c r="K105" s="4"/>
      <c r="L105" s="25"/>
      <c r="M105" s="25"/>
      <c r="N105" s="25"/>
      <c r="O105" s="4"/>
      <c r="P105" s="4"/>
      <c r="Q105" s="4"/>
      <c r="R105"/>
    </row>
    <row r="106" spans="1:18" x14ac:dyDescent="0.2">
      <c r="A106" s="4"/>
      <c r="B106" s="4"/>
      <c r="C106" s="25"/>
      <c r="D106" s="25"/>
      <c r="E106" s="25"/>
      <c r="F106" s="25"/>
      <c r="G106" s="25"/>
      <c r="H106" s="25"/>
      <c r="I106" s="25"/>
      <c r="J106" s="25"/>
      <c r="K106" s="4"/>
      <c r="L106" s="25"/>
      <c r="M106" s="25"/>
      <c r="N106" s="25"/>
      <c r="O106" s="4"/>
      <c r="P106" s="4"/>
      <c r="Q106" s="4"/>
      <c r="R106"/>
    </row>
    <row r="107" spans="1:18" x14ac:dyDescent="0.2">
      <c r="A107" s="4"/>
      <c r="B107" s="4"/>
      <c r="C107" s="25"/>
      <c r="D107" s="25"/>
      <c r="E107" s="25"/>
      <c r="F107" s="25"/>
      <c r="G107" s="25"/>
      <c r="H107" s="25"/>
      <c r="I107" s="25"/>
      <c r="J107" s="25"/>
      <c r="K107" s="4"/>
      <c r="L107" s="25"/>
      <c r="M107" s="25"/>
      <c r="N107" s="25"/>
      <c r="O107" s="4"/>
      <c r="P107" s="4"/>
      <c r="Q107" s="4"/>
      <c r="R107"/>
    </row>
    <row r="108" spans="1:18" x14ac:dyDescent="0.2">
      <c r="A108" s="4"/>
      <c r="B108" s="4"/>
      <c r="C108" s="25"/>
      <c r="D108" s="25"/>
      <c r="E108" s="25"/>
      <c r="F108" s="25"/>
      <c r="G108" s="25"/>
      <c r="H108" s="25"/>
      <c r="I108" s="25"/>
      <c r="J108" s="25"/>
      <c r="K108" s="4"/>
      <c r="L108" s="25"/>
      <c r="M108" s="25"/>
      <c r="N108" s="25"/>
      <c r="O108" s="4"/>
      <c r="P108" s="4"/>
      <c r="Q108" s="4"/>
      <c r="R108"/>
    </row>
    <row r="109" spans="1:18" x14ac:dyDescent="0.2">
      <c r="A109" s="4"/>
      <c r="B109" s="4"/>
      <c r="C109" s="25"/>
      <c r="D109" s="25"/>
      <c r="E109" s="25"/>
      <c r="F109" s="25"/>
      <c r="G109" s="25"/>
      <c r="H109" s="25"/>
      <c r="I109" s="25"/>
      <c r="J109" s="25"/>
      <c r="K109" s="4"/>
      <c r="L109" s="25"/>
      <c r="M109" s="25"/>
      <c r="N109" s="25"/>
      <c r="O109" s="4"/>
      <c r="P109" s="4"/>
      <c r="Q109" s="4"/>
      <c r="R109"/>
    </row>
    <row r="110" spans="1:18" x14ac:dyDescent="0.2">
      <c r="A110" s="4"/>
      <c r="B110" s="4"/>
      <c r="C110" s="25"/>
      <c r="D110" s="25"/>
      <c r="E110" s="25"/>
      <c r="F110" s="25"/>
      <c r="G110" s="25"/>
      <c r="H110" s="25"/>
      <c r="I110" s="25"/>
      <c r="J110" s="25"/>
      <c r="K110" s="4"/>
      <c r="L110" s="25"/>
      <c r="M110" s="25"/>
      <c r="N110" s="25"/>
      <c r="O110" s="4"/>
      <c r="P110" s="4"/>
      <c r="Q110" s="4"/>
      <c r="R110"/>
    </row>
    <row r="111" spans="1:18" x14ac:dyDescent="0.2">
      <c r="C111" s="121"/>
      <c r="R111"/>
    </row>
    <row r="112" spans="1:18" x14ac:dyDescent="0.2">
      <c r="C112" s="121"/>
      <c r="R112"/>
    </row>
    <row r="113" spans="3:18" x14ac:dyDescent="0.2">
      <c r="C113" s="121"/>
      <c r="R113"/>
    </row>
    <row r="114" spans="3:18" x14ac:dyDescent="0.2">
      <c r="C114" s="121"/>
      <c r="R114"/>
    </row>
    <row r="115" spans="3:18" x14ac:dyDescent="0.2">
      <c r="C115" s="121"/>
      <c r="R115"/>
    </row>
    <row r="116" spans="3:18" x14ac:dyDescent="0.2">
      <c r="C116" s="121"/>
      <c r="R116"/>
    </row>
    <row r="117" spans="3:18" x14ac:dyDescent="0.2">
      <c r="C117" s="121"/>
      <c r="R117"/>
    </row>
    <row r="118" spans="3:18" x14ac:dyDescent="0.2">
      <c r="C118" s="121"/>
      <c r="R118"/>
    </row>
    <row r="119" spans="3:18" x14ac:dyDescent="0.2">
      <c r="C119" s="121"/>
      <c r="R119"/>
    </row>
    <row r="120" spans="3:18" x14ac:dyDescent="0.2">
      <c r="C120" s="121"/>
      <c r="R120"/>
    </row>
    <row r="121" spans="3:18" x14ac:dyDescent="0.2">
      <c r="C121" s="121"/>
      <c r="R121"/>
    </row>
    <row r="122" spans="3:18" x14ac:dyDescent="0.2">
      <c r="C122" s="121"/>
      <c r="R122"/>
    </row>
    <row r="123" spans="3:18" x14ac:dyDescent="0.2">
      <c r="C123" s="121"/>
      <c r="R123"/>
    </row>
    <row r="124" spans="3:18" x14ac:dyDescent="0.2">
      <c r="C124" s="121"/>
      <c r="R124"/>
    </row>
    <row r="125" spans="3:18" x14ac:dyDescent="0.2">
      <c r="C125" s="121"/>
      <c r="D125"/>
      <c r="E125"/>
      <c r="F125"/>
      <c r="G125"/>
      <c r="H125"/>
      <c r="I125"/>
      <c r="J125"/>
      <c r="L125"/>
      <c r="M125"/>
      <c r="N125"/>
      <c r="R125"/>
    </row>
    <row r="126" spans="3:18" x14ac:dyDescent="0.2">
      <c r="C126" s="121"/>
      <c r="D126"/>
      <c r="E126"/>
      <c r="F126"/>
      <c r="G126"/>
      <c r="H126"/>
      <c r="I126"/>
      <c r="J126"/>
      <c r="L126"/>
      <c r="M126"/>
      <c r="N126"/>
      <c r="R126"/>
    </row>
    <row r="127" spans="3:18" x14ac:dyDescent="0.2">
      <c r="C127" s="121"/>
      <c r="D127"/>
      <c r="E127"/>
      <c r="F127"/>
      <c r="G127"/>
      <c r="H127"/>
      <c r="I127"/>
      <c r="J127"/>
      <c r="L127"/>
      <c r="M127"/>
      <c r="N127"/>
      <c r="R127"/>
    </row>
    <row r="128" spans="3:18" x14ac:dyDescent="0.2">
      <c r="C128" s="121"/>
      <c r="D128"/>
      <c r="E128"/>
      <c r="F128"/>
      <c r="G128"/>
      <c r="H128"/>
      <c r="I128"/>
      <c r="J128"/>
      <c r="L128"/>
      <c r="M128"/>
      <c r="N128"/>
      <c r="R128"/>
    </row>
    <row r="129" spans="3:18" x14ac:dyDescent="0.2">
      <c r="C129" s="121"/>
      <c r="D129"/>
      <c r="E129"/>
      <c r="F129"/>
      <c r="G129"/>
      <c r="H129"/>
      <c r="I129"/>
      <c r="J129"/>
      <c r="L129"/>
      <c r="M129"/>
      <c r="N129"/>
      <c r="R129"/>
    </row>
    <row r="130" spans="3:18" x14ac:dyDescent="0.2">
      <c r="C130" s="121"/>
      <c r="D130"/>
      <c r="E130"/>
      <c r="F130"/>
      <c r="G130"/>
      <c r="H130"/>
      <c r="I130"/>
      <c r="J130"/>
      <c r="L130"/>
      <c r="M130"/>
      <c r="N130"/>
      <c r="R130"/>
    </row>
    <row r="131" spans="3:18" x14ac:dyDescent="0.2">
      <c r="C131" s="121"/>
      <c r="D131"/>
      <c r="E131"/>
      <c r="F131"/>
      <c r="G131"/>
      <c r="H131"/>
      <c r="I131"/>
      <c r="J131"/>
      <c r="L131"/>
      <c r="M131"/>
      <c r="N131"/>
      <c r="R131"/>
    </row>
    <row r="132" spans="3:18" x14ac:dyDescent="0.2">
      <c r="C132" s="121"/>
      <c r="D132"/>
      <c r="E132"/>
      <c r="F132"/>
      <c r="G132"/>
      <c r="H132"/>
      <c r="I132"/>
      <c r="J132"/>
      <c r="L132"/>
      <c r="M132"/>
      <c r="N132"/>
      <c r="R132"/>
    </row>
    <row r="133" spans="3:18" x14ac:dyDescent="0.2">
      <c r="C133" s="121"/>
      <c r="D133"/>
      <c r="E133"/>
      <c r="F133"/>
      <c r="G133"/>
      <c r="H133"/>
      <c r="I133"/>
      <c r="J133"/>
      <c r="L133"/>
      <c r="M133"/>
      <c r="N133"/>
      <c r="R133"/>
    </row>
    <row r="134" spans="3:18" x14ac:dyDescent="0.2">
      <c r="C134" s="121"/>
      <c r="D134"/>
      <c r="E134"/>
      <c r="F134"/>
      <c r="G134"/>
      <c r="H134"/>
      <c r="I134"/>
      <c r="J134"/>
      <c r="L134"/>
      <c r="M134"/>
      <c r="N134"/>
      <c r="R134"/>
    </row>
    <row r="135" spans="3:18" x14ac:dyDescent="0.2">
      <c r="C135" s="121"/>
      <c r="D135"/>
      <c r="E135"/>
      <c r="F135"/>
      <c r="G135"/>
      <c r="H135"/>
      <c r="I135"/>
      <c r="J135"/>
      <c r="L135"/>
      <c r="M135"/>
      <c r="N135"/>
      <c r="R135"/>
    </row>
    <row r="136" spans="3:18" x14ac:dyDescent="0.2">
      <c r="C136" s="121"/>
      <c r="D136"/>
      <c r="E136"/>
      <c r="F136"/>
      <c r="G136"/>
      <c r="H136"/>
      <c r="I136"/>
      <c r="J136"/>
      <c r="L136"/>
      <c r="M136"/>
      <c r="N136"/>
      <c r="R136"/>
    </row>
    <row r="137" spans="3:18" x14ac:dyDescent="0.2">
      <c r="C137" s="121"/>
      <c r="D137"/>
      <c r="E137"/>
      <c r="F137"/>
      <c r="G137"/>
      <c r="H137"/>
      <c r="I137"/>
      <c r="J137"/>
      <c r="L137"/>
      <c r="M137"/>
      <c r="N137"/>
      <c r="R137"/>
    </row>
    <row r="138" spans="3:18" x14ac:dyDescent="0.2">
      <c r="C138" s="121"/>
      <c r="D138"/>
      <c r="E138"/>
      <c r="F138"/>
      <c r="G138"/>
      <c r="H138"/>
      <c r="I138"/>
      <c r="J138"/>
      <c r="L138"/>
      <c r="M138"/>
      <c r="N138"/>
      <c r="R138"/>
    </row>
    <row r="139" spans="3:18" x14ac:dyDescent="0.2">
      <c r="C139" s="121"/>
      <c r="D139"/>
      <c r="E139"/>
      <c r="F139"/>
      <c r="G139"/>
      <c r="H139"/>
      <c r="I139"/>
      <c r="J139"/>
      <c r="L139"/>
      <c r="M139"/>
      <c r="N139"/>
      <c r="R139"/>
    </row>
    <row r="140" spans="3:18" x14ac:dyDescent="0.2">
      <c r="C140" s="121"/>
      <c r="D140"/>
      <c r="E140"/>
      <c r="F140"/>
      <c r="G140"/>
      <c r="H140"/>
      <c r="I140"/>
      <c r="J140"/>
      <c r="L140"/>
      <c r="M140"/>
      <c r="N140"/>
      <c r="R140"/>
    </row>
    <row r="141" spans="3:18" x14ac:dyDescent="0.2">
      <c r="C141" s="121"/>
      <c r="D141"/>
      <c r="E141"/>
      <c r="F141"/>
      <c r="G141"/>
      <c r="H141"/>
      <c r="I141"/>
      <c r="J141"/>
      <c r="L141"/>
      <c r="M141"/>
      <c r="N141"/>
      <c r="R141"/>
    </row>
    <row r="142" spans="3:18" x14ac:dyDescent="0.2">
      <c r="C142" s="121"/>
      <c r="D142"/>
      <c r="E142"/>
      <c r="F142"/>
      <c r="G142"/>
      <c r="H142"/>
      <c r="I142"/>
      <c r="J142"/>
      <c r="L142"/>
      <c r="M142"/>
      <c r="N142"/>
      <c r="R142"/>
    </row>
    <row r="143" spans="3:18" x14ac:dyDescent="0.2">
      <c r="C143" s="121"/>
      <c r="D143"/>
      <c r="E143"/>
      <c r="F143"/>
      <c r="G143"/>
      <c r="H143"/>
      <c r="I143"/>
      <c r="J143"/>
      <c r="L143"/>
      <c r="M143"/>
      <c r="N143"/>
      <c r="R143"/>
    </row>
    <row r="144" spans="3:18" x14ac:dyDescent="0.2">
      <c r="C144" s="121"/>
      <c r="D144"/>
      <c r="E144"/>
      <c r="F144"/>
      <c r="G144"/>
      <c r="H144"/>
      <c r="I144"/>
      <c r="J144"/>
      <c r="L144"/>
      <c r="M144"/>
      <c r="N144"/>
      <c r="R144"/>
    </row>
    <row r="145" spans="3:18" x14ac:dyDescent="0.2">
      <c r="C145" s="121"/>
      <c r="D145"/>
      <c r="E145"/>
      <c r="F145"/>
      <c r="G145"/>
      <c r="H145"/>
      <c r="I145"/>
      <c r="J145"/>
      <c r="L145"/>
      <c r="M145"/>
      <c r="N145"/>
      <c r="R145"/>
    </row>
    <row r="146" spans="3:18" x14ac:dyDescent="0.2">
      <c r="C146" s="121"/>
      <c r="D146"/>
      <c r="E146"/>
      <c r="F146"/>
      <c r="G146"/>
      <c r="H146"/>
      <c r="I146"/>
      <c r="J146"/>
      <c r="L146"/>
      <c r="M146"/>
      <c r="N146"/>
      <c r="R146"/>
    </row>
    <row r="147" spans="3:18" x14ac:dyDescent="0.2">
      <c r="C147" s="121"/>
      <c r="D147"/>
      <c r="E147"/>
      <c r="F147"/>
      <c r="G147"/>
      <c r="H147"/>
      <c r="I147"/>
      <c r="J147"/>
      <c r="L147"/>
      <c r="M147"/>
      <c r="N147"/>
      <c r="R147"/>
    </row>
    <row r="148" spans="3:18" x14ac:dyDescent="0.2">
      <c r="C148" s="121"/>
      <c r="D148"/>
      <c r="E148"/>
      <c r="F148"/>
      <c r="G148"/>
      <c r="H148"/>
      <c r="I148"/>
      <c r="J148"/>
      <c r="L148"/>
      <c r="M148"/>
      <c r="N148"/>
      <c r="R148"/>
    </row>
    <row r="149" spans="3:18" x14ac:dyDescent="0.2">
      <c r="C149" s="121"/>
      <c r="D149"/>
      <c r="E149"/>
      <c r="F149"/>
      <c r="G149"/>
      <c r="H149"/>
      <c r="I149"/>
      <c r="J149"/>
      <c r="L149"/>
      <c r="M149"/>
      <c r="N149"/>
      <c r="R149"/>
    </row>
    <row r="150" spans="3:18" x14ac:dyDescent="0.2">
      <c r="C150" s="121"/>
      <c r="D150"/>
      <c r="E150"/>
      <c r="F150"/>
      <c r="G150"/>
      <c r="H150"/>
      <c r="I150"/>
      <c r="J150"/>
      <c r="L150"/>
      <c r="M150"/>
      <c r="N150"/>
      <c r="R150"/>
    </row>
    <row r="151" spans="3:18" x14ac:dyDescent="0.2">
      <c r="C151" s="121"/>
      <c r="D151"/>
      <c r="E151"/>
      <c r="F151"/>
      <c r="G151"/>
      <c r="H151"/>
      <c r="I151"/>
      <c r="J151"/>
      <c r="L151"/>
      <c r="M151"/>
      <c r="N151"/>
      <c r="R151"/>
    </row>
    <row r="152" spans="3:18" x14ac:dyDescent="0.2">
      <c r="C152" s="121"/>
      <c r="D152"/>
      <c r="E152"/>
      <c r="F152"/>
      <c r="G152"/>
      <c r="H152"/>
      <c r="I152"/>
      <c r="J152"/>
      <c r="L152"/>
      <c r="M152"/>
      <c r="N152"/>
      <c r="R152"/>
    </row>
    <row r="153" spans="3:18" x14ac:dyDescent="0.2">
      <c r="C153" s="121"/>
      <c r="D153"/>
      <c r="E153"/>
      <c r="F153"/>
      <c r="G153"/>
      <c r="H153"/>
      <c r="I153"/>
      <c r="J153"/>
      <c r="L153"/>
      <c r="M153"/>
      <c r="N153"/>
      <c r="R153"/>
    </row>
    <row r="154" spans="3:18" x14ac:dyDescent="0.2">
      <c r="C154" s="121"/>
      <c r="D154"/>
      <c r="E154"/>
      <c r="F154"/>
      <c r="G154"/>
      <c r="H154"/>
      <c r="I154"/>
      <c r="J154"/>
      <c r="L154"/>
      <c r="M154"/>
      <c r="N154"/>
      <c r="R154"/>
    </row>
    <row r="155" spans="3:18" x14ac:dyDescent="0.2">
      <c r="C155" s="121"/>
      <c r="D155"/>
      <c r="E155"/>
      <c r="F155"/>
      <c r="G155"/>
      <c r="H155"/>
      <c r="I155"/>
      <c r="J155"/>
      <c r="L155"/>
      <c r="M155"/>
      <c r="N155"/>
      <c r="R155"/>
    </row>
    <row r="156" spans="3:18" x14ac:dyDescent="0.2">
      <c r="C156" s="121"/>
      <c r="D156"/>
      <c r="E156"/>
      <c r="F156"/>
      <c r="G156"/>
      <c r="H156"/>
      <c r="I156"/>
      <c r="J156"/>
      <c r="L156"/>
      <c r="M156"/>
      <c r="N156"/>
      <c r="R156"/>
    </row>
    <row r="157" spans="3:18" x14ac:dyDescent="0.2">
      <c r="C157" s="121"/>
      <c r="D157"/>
      <c r="E157"/>
      <c r="F157"/>
      <c r="G157"/>
      <c r="H157"/>
      <c r="I157"/>
      <c r="J157"/>
      <c r="L157"/>
      <c r="M157"/>
      <c r="N157"/>
      <c r="R157"/>
    </row>
    <row r="158" spans="3:18" x14ac:dyDescent="0.2">
      <c r="C158" s="121"/>
      <c r="D158"/>
      <c r="E158"/>
      <c r="F158"/>
      <c r="G158"/>
      <c r="H158"/>
      <c r="I158"/>
      <c r="J158"/>
      <c r="L158"/>
      <c r="M158"/>
      <c r="N158"/>
      <c r="R158"/>
    </row>
    <row r="159" spans="3:18" x14ac:dyDescent="0.2">
      <c r="C159" s="121"/>
      <c r="D159"/>
      <c r="E159"/>
      <c r="F159"/>
      <c r="G159"/>
      <c r="H159"/>
      <c r="I159"/>
      <c r="J159"/>
      <c r="L159"/>
      <c r="M159"/>
      <c r="N159"/>
      <c r="R159"/>
    </row>
    <row r="160" spans="3:18" x14ac:dyDescent="0.2">
      <c r="C160" s="121"/>
      <c r="D160"/>
      <c r="E160"/>
      <c r="F160"/>
      <c r="G160"/>
      <c r="H160"/>
      <c r="I160"/>
      <c r="J160"/>
      <c r="L160"/>
      <c r="M160"/>
      <c r="N160"/>
      <c r="R160"/>
    </row>
    <row r="161" spans="3:18" x14ac:dyDescent="0.2">
      <c r="C161" s="121"/>
      <c r="D161"/>
      <c r="E161"/>
      <c r="F161"/>
      <c r="G161"/>
      <c r="H161"/>
      <c r="I161"/>
      <c r="J161"/>
      <c r="L161"/>
      <c r="M161"/>
      <c r="N161"/>
      <c r="R161"/>
    </row>
    <row r="162" spans="3:18" x14ac:dyDescent="0.2">
      <c r="C162" s="121"/>
      <c r="D162"/>
      <c r="E162"/>
      <c r="F162"/>
      <c r="G162"/>
      <c r="H162"/>
      <c r="I162"/>
      <c r="J162"/>
      <c r="L162"/>
      <c r="M162"/>
      <c r="N162"/>
      <c r="R162"/>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0" orientation="landscape" verticalDpi="300" r:id="rId1"/>
  <headerFooter alignWithMargins="0">
    <oddFooter>&amp;L&amp;D     &amp;T&amp;C&amp;F&amp;R&amp;A</oddFooter>
  </headerFooter>
  <rowBreaks count="1" manualBreakCount="1">
    <brk id="3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70"/>
  <sheetViews>
    <sheetView topLeftCell="A29" zoomScale="75" zoomScaleNormal="75" workbookViewId="0">
      <selection activeCell="C78" sqref="C78"/>
    </sheetView>
  </sheetViews>
  <sheetFormatPr defaultRowHeight="12.75" x14ac:dyDescent="0.2"/>
  <cols>
    <col min="2" max="2" width="25.5" customWidth="1"/>
    <col min="3" max="3" width="21.6640625" customWidth="1"/>
    <col min="4" max="4" width="17.5" customWidth="1"/>
    <col min="5" max="5" width="10.33203125" customWidth="1"/>
    <col min="8" max="8" width="13.5" customWidth="1"/>
    <col min="9" max="9" width="6.5" customWidth="1"/>
    <col min="10" max="10" width="11.33203125" customWidth="1"/>
  </cols>
  <sheetData>
    <row r="1" spans="1:8" ht="15.75" x14ac:dyDescent="0.25">
      <c r="A1" s="683" t="s">
        <v>1364</v>
      </c>
      <c r="B1" s="672"/>
      <c r="C1" s="684"/>
      <c r="D1" s="410" t="s">
        <v>1418</v>
      </c>
      <c r="E1" s="685"/>
      <c r="F1" s="672" t="s">
        <v>1383</v>
      </c>
      <c r="G1" s="672"/>
      <c r="H1" s="672"/>
    </row>
    <row r="2" spans="1:8" ht="15" x14ac:dyDescent="0.2">
      <c r="A2" s="686" t="s">
        <v>1365</v>
      </c>
      <c r="B2" s="687"/>
      <c r="C2" s="688"/>
      <c r="D2" s="687"/>
      <c r="E2" s="687"/>
      <c r="F2" s="687"/>
      <c r="G2" s="687"/>
      <c r="H2" s="689"/>
    </row>
    <row r="3" spans="1:8" ht="15" x14ac:dyDescent="0.2">
      <c r="A3" s="690"/>
      <c r="B3" s="691" t="s">
        <v>1201</v>
      </c>
      <c r="C3" s="692"/>
      <c r="D3" s="691"/>
      <c r="E3" s="691"/>
      <c r="F3" s="691"/>
      <c r="G3" s="691"/>
      <c r="H3" s="693"/>
    </row>
    <row r="4" spans="1:8" ht="15" x14ac:dyDescent="0.2">
      <c r="A4" s="690"/>
      <c r="B4" s="691"/>
      <c r="C4" s="692"/>
      <c r="D4" s="691"/>
      <c r="E4" s="691"/>
      <c r="F4" s="691"/>
      <c r="G4" s="691"/>
      <c r="H4" s="693"/>
    </row>
    <row r="5" spans="1:8" ht="15" x14ac:dyDescent="0.2">
      <c r="A5" s="690"/>
      <c r="B5" s="691" t="s">
        <v>819</v>
      </c>
      <c r="C5" s="692"/>
      <c r="D5" s="691" t="s">
        <v>545</v>
      </c>
      <c r="E5" s="691"/>
      <c r="F5" s="691"/>
      <c r="G5" s="691"/>
      <c r="H5" s="693"/>
    </row>
    <row r="6" spans="1:8" ht="15" x14ac:dyDescent="0.2">
      <c r="A6" s="690"/>
      <c r="B6" s="691" t="s">
        <v>818</v>
      </c>
      <c r="C6" s="411">
        <v>17933112.23</v>
      </c>
      <c r="D6" s="691" t="s">
        <v>835</v>
      </c>
      <c r="E6" s="691"/>
      <c r="F6" s="691"/>
      <c r="G6" s="691"/>
      <c r="H6" s="693"/>
    </row>
    <row r="7" spans="1:8" ht="15" x14ac:dyDescent="0.2">
      <c r="A7" s="690"/>
      <c r="B7" s="691" t="s">
        <v>817</v>
      </c>
      <c r="C7" s="411">
        <v>-424470.23</v>
      </c>
      <c r="D7" s="691" t="s">
        <v>834</v>
      </c>
      <c r="E7" s="691"/>
      <c r="F7" s="691"/>
      <c r="G7" s="691"/>
      <c r="H7" s="693"/>
    </row>
    <row r="8" spans="1:8" ht="15" x14ac:dyDescent="0.2">
      <c r="A8" s="690"/>
      <c r="B8" s="691" t="s">
        <v>816</v>
      </c>
      <c r="C8" s="694">
        <v>-742178</v>
      </c>
      <c r="D8" s="691" t="s">
        <v>833</v>
      </c>
      <c r="E8" s="691"/>
      <c r="F8" s="691"/>
      <c r="G8" s="691"/>
      <c r="H8" s="693"/>
    </row>
    <row r="9" spans="1:8" ht="15" x14ac:dyDescent="0.2">
      <c r="A9" s="690" t="s">
        <v>815</v>
      </c>
      <c r="B9" s="691" t="s">
        <v>814</v>
      </c>
      <c r="C9" s="692">
        <f>SUM(C6:C8)</f>
        <v>16766464</v>
      </c>
      <c r="D9" s="691"/>
      <c r="E9" s="691"/>
      <c r="F9" s="691"/>
      <c r="G9" s="691"/>
      <c r="H9" s="693"/>
    </row>
    <row r="10" spans="1:8" ht="15" x14ac:dyDescent="0.2">
      <c r="A10" s="690"/>
      <c r="B10" s="691"/>
      <c r="C10" s="692"/>
      <c r="D10" s="691"/>
      <c r="E10" s="691"/>
      <c r="F10" s="691"/>
      <c r="G10" s="691"/>
      <c r="H10" s="693"/>
    </row>
    <row r="11" spans="1:8" ht="15" x14ac:dyDescent="0.2">
      <c r="A11" s="690"/>
      <c r="B11" s="691" t="s">
        <v>832</v>
      </c>
      <c r="C11" s="692"/>
      <c r="D11" s="691"/>
      <c r="E11" s="691"/>
      <c r="F11" s="691"/>
      <c r="G11" s="691"/>
      <c r="H11" s="693"/>
    </row>
    <row r="12" spans="1:8" ht="15" x14ac:dyDescent="0.2">
      <c r="A12" s="690"/>
      <c r="B12" s="691" t="s">
        <v>813</v>
      </c>
      <c r="C12" s="411">
        <v>21547857.93</v>
      </c>
      <c r="D12" s="691" t="s">
        <v>809</v>
      </c>
      <c r="E12" s="691"/>
      <c r="F12" s="691"/>
      <c r="G12" s="691"/>
      <c r="H12" s="693"/>
    </row>
    <row r="13" spans="1:8" ht="15" x14ac:dyDescent="0.2">
      <c r="A13" s="690"/>
      <c r="B13" s="691" t="s">
        <v>812</v>
      </c>
      <c r="C13" s="411">
        <v>-53465</v>
      </c>
      <c r="D13" s="691" t="s">
        <v>809</v>
      </c>
      <c r="E13" s="691"/>
      <c r="F13" s="691"/>
      <c r="G13" s="691"/>
      <c r="H13" s="693"/>
    </row>
    <row r="14" spans="1:8" ht="15" x14ac:dyDescent="0.2">
      <c r="A14" s="690"/>
      <c r="B14" s="691" t="s">
        <v>811</v>
      </c>
      <c r="C14" s="411">
        <v>-2571883.06</v>
      </c>
      <c r="D14" s="691" t="s">
        <v>809</v>
      </c>
      <c r="E14" s="691"/>
      <c r="F14" s="691"/>
      <c r="G14" s="691"/>
      <c r="H14" s="693"/>
    </row>
    <row r="15" spans="1:8" ht="15" x14ac:dyDescent="0.2">
      <c r="A15" s="690"/>
      <c r="B15" s="691" t="s">
        <v>810</v>
      </c>
      <c r="C15" s="411">
        <v>-15152775.51</v>
      </c>
      <c r="D15" s="691" t="s">
        <v>809</v>
      </c>
      <c r="E15" s="691"/>
      <c r="F15" s="691"/>
      <c r="G15" s="691"/>
      <c r="H15" s="693"/>
    </row>
    <row r="16" spans="1:8" ht="15" x14ac:dyDescent="0.2">
      <c r="A16" s="690"/>
      <c r="B16" s="691" t="s">
        <v>890</v>
      </c>
      <c r="C16" s="411">
        <v>-33980.85</v>
      </c>
      <c r="D16" s="691" t="s">
        <v>809</v>
      </c>
      <c r="E16" s="691"/>
      <c r="F16" s="691"/>
      <c r="G16" s="691"/>
      <c r="H16" s="693"/>
    </row>
    <row r="17" spans="1:8" ht="15" x14ac:dyDescent="0.2">
      <c r="A17" s="690"/>
      <c r="B17" s="691" t="s">
        <v>808</v>
      </c>
      <c r="C17" s="695"/>
      <c r="D17" s="691" t="s">
        <v>807</v>
      </c>
      <c r="E17" s="691"/>
      <c r="F17" s="691"/>
      <c r="G17" s="691"/>
      <c r="H17" s="693"/>
    </row>
    <row r="18" spans="1:8" ht="15" x14ac:dyDescent="0.2">
      <c r="A18" s="690" t="s">
        <v>806</v>
      </c>
      <c r="B18" s="691" t="s">
        <v>805</v>
      </c>
      <c r="C18" s="692">
        <f>SUM(C12:C17)</f>
        <v>3735753.5100000012</v>
      </c>
      <c r="D18" s="691"/>
      <c r="E18" s="691"/>
      <c r="F18" s="691"/>
      <c r="G18" s="691"/>
      <c r="H18" s="693"/>
    </row>
    <row r="19" spans="1:8" ht="15" x14ac:dyDescent="0.2">
      <c r="A19" s="690"/>
      <c r="B19" s="691"/>
      <c r="C19" s="692"/>
      <c r="D19" s="691"/>
      <c r="E19" s="691"/>
      <c r="F19" s="691"/>
      <c r="G19" s="691"/>
      <c r="H19" s="693"/>
    </row>
    <row r="20" spans="1:8" ht="15" x14ac:dyDescent="0.2">
      <c r="A20" s="690" t="s">
        <v>1366</v>
      </c>
      <c r="B20" s="691"/>
      <c r="C20" s="692"/>
      <c r="D20" s="691"/>
      <c r="E20" s="691"/>
      <c r="F20" s="691"/>
      <c r="G20" s="691"/>
      <c r="H20" s="693"/>
    </row>
    <row r="21" spans="1:8" ht="15" x14ac:dyDescent="0.2">
      <c r="A21" s="690"/>
      <c r="B21" s="691" t="s">
        <v>804</v>
      </c>
      <c r="C21" s="692">
        <f>+C18+C9</f>
        <v>20502217.510000002</v>
      </c>
      <c r="D21" s="691"/>
      <c r="E21" s="691"/>
      <c r="F21" s="691"/>
      <c r="G21" s="691"/>
      <c r="H21" s="693"/>
    </row>
    <row r="22" spans="1:8" ht="15" x14ac:dyDescent="0.2">
      <c r="A22" s="696"/>
      <c r="B22" s="697"/>
      <c r="C22" s="695"/>
      <c r="D22" s="697"/>
      <c r="E22" s="697"/>
      <c r="F22" s="697"/>
      <c r="G22" s="697"/>
      <c r="H22" s="698"/>
    </row>
    <row r="23" spans="1:8" ht="15" x14ac:dyDescent="0.2">
      <c r="A23" s="691"/>
      <c r="B23" s="691"/>
      <c r="C23" s="692"/>
      <c r="D23" s="691"/>
      <c r="E23" s="691"/>
      <c r="F23" s="691"/>
      <c r="G23" s="691"/>
      <c r="H23" s="691"/>
    </row>
    <row r="24" spans="1:8" ht="15" hidden="1" x14ac:dyDescent="0.2">
      <c r="A24" s="686" t="s">
        <v>831</v>
      </c>
      <c r="B24" s="687"/>
      <c r="C24" s="688"/>
      <c r="D24" s="687"/>
      <c r="E24" s="687"/>
      <c r="F24" s="687"/>
      <c r="G24" s="687"/>
      <c r="H24" s="689"/>
    </row>
    <row r="25" spans="1:8" ht="15" hidden="1" x14ac:dyDescent="0.2">
      <c r="A25" s="690"/>
      <c r="B25" s="691"/>
      <c r="C25" s="692"/>
      <c r="D25" s="699"/>
      <c r="E25" s="691"/>
      <c r="F25" s="691"/>
      <c r="G25" s="691"/>
      <c r="H25" s="693"/>
    </row>
    <row r="26" spans="1:8" ht="15" hidden="1" x14ac:dyDescent="0.2">
      <c r="A26" s="690"/>
      <c r="B26" s="691" t="s">
        <v>830</v>
      </c>
      <c r="C26" s="692"/>
      <c r="D26" s="691"/>
      <c r="E26" s="691"/>
      <c r="F26" s="691"/>
      <c r="G26" s="691"/>
      <c r="H26" s="693"/>
    </row>
    <row r="27" spans="1:8" ht="15" hidden="1" x14ac:dyDescent="0.2">
      <c r="A27" s="696"/>
      <c r="B27" s="697"/>
      <c r="C27" s="695"/>
      <c r="D27" s="697"/>
      <c r="E27" s="697"/>
      <c r="F27" s="697"/>
      <c r="G27" s="697"/>
      <c r="H27" s="698"/>
    </row>
    <row r="28" spans="1:8" ht="15" hidden="1" x14ac:dyDescent="0.2">
      <c r="A28" s="672"/>
      <c r="B28" s="672"/>
      <c r="C28" s="684"/>
      <c r="D28" s="672"/>
      <c r="E28" s="672"/>
      <c r="F28" s="672"/>
      <c r="G28" s="672"/>
      <c r="H28" s="672"/>
    </row>
    <row r="29" spans="1:8" ht="15" x14ac:dyDescent="0.2">
      <c r="A29" s="686" t="s">
        <v>848</v>
      </c>
      <c r="B29" s="687"/>
      <c r="C29" s="688"/>
      <c r="D29" s="687"/>
      <c r="E29" s="687"/>
      <c r="F29" s="687"/>
      <c r="G29" s="687"/>
      <c r="H29" s="689"/>
    </row>
    <row r="30" spans="1:8" ht="15" x14ac:dyDescent="0.2">
      <c r="A30" s="690"/>
      <c r="B30" s="691" t="s">
        <v>1367</v>
      </c>
      <c r="C30" s="699">
        <f>+C21</f>
        <v>20502217.510000002</v>
      </c>
      <c r="D30" s="691"/>
      <c r="E30" s="691"/>
      <c r="F30" s="691"/>
      <c r="G30" s="691"/>
      <c r="H30" s="693"/>
    </row>
    <row r="31" spans="1:8" ht="15" x14ac:dyDescent="0.2">
      <c r="A31" s="690"/>
      <c r="B31" s="700">
        <v>0.05</v>
      </c>
      <c r="C31" s="692">
        <f>ROUND((+C30*0.05),0)</f>
        <v>1025111</v>
      </c>
      <c r="D31" s="691" t="s">
        <v>829</v>
      </c>
      <c r="E31" s="691"/>
      <c r="F31" s="691"/>
      <c r="G31" s="691"/>
      <c r="H31" s="693"/>
    </row>
    <row r="32" spans="1:8" ht="15" x14ac:dyDescent="0.2">
      <c r="A32" s="690"/>
      <c r="B32" s="700">
        <v>0.1</v>
      </c>
      <c r="C32" s="692">
        <f>+C31*2</f>
        <v>2050222</v>
      </c>
      <c r="D32" s="691" t="s">
        <v>828</v>
      </c>
      <c r="E32" s="691"/>
      <c r="F32" s="691"/>
      <c r="G32" s="691"/>
      <c r="H32" s="693"/>
    </row>
    <row r="33" spans="1:8" ht="15" x14ac:dyDescent="0.2">
      <c r="A33" s="690"/>
      <c r="B33" s="691"/>
      <c r="C33" s="411"/>
      <c r="D33" s="691"/>
      <c r="E33" s="691"/>
      <c r="F33" s="691"/>
      <c r="G33" s="691"/>
      <c r="H33" s="693"/>
    </row>
    <row r="34" spans="1:8" ht="15" x14ac:dyDescent="0.2">
      <c r="A34" s="690"/>
      <c r="B34" s="691"/>
      <c r="C34" s="411">
        <v>502792</v>
      </c>
      <c r="D34" s="701" t="s">
        <v>1382</v>
      </c>
      <c r="E34" s="691"/>
      <c r="F34" s="701"/>
      <c r="G34" s="691"/>
      <c r="H34" s="693"/>
    </row>
    <row r="35" spans="1:8" ht="15" x14ac:dyDescent="0.2">
      <c r="A35" s="690"/>
      <c r="B35" s="691"/>
      <c r="C35" s="694">
        <f>1049265+299825+97531+76785</f>
        <v>1523406</v>
      </c>
      <c r="D35" s="691" t="s">
        <v>1368</v>
      </c>
      <c r="E35" s="691"/>
      <c r="F35" s="691"/>
      <c r="G35" s="691"/>
      <c r="H35" s="693"/>
    </row>
    <row r="36" spans="1:8" ht="15" x14ac:dyDescent="0.2">
      <c r="A36" s="690"/>
      <c r="B36" s="691"/>
      <c r="C36" s="411">
        <f>SUM(C34:C35)</f>
        <v>2026198</v>
      </c>
      <c r="D36" s="691" t="s">
        <v>431</v>
      </c>
      <c r="E36" s="702">
        <f>ROUND((+C36/C30),4)</f>
        <v>9.8799999999999999E-2</v>
      </c>
      <c r="F36" s="691" t="s">
        <v>880</v>
      </c>
      <c r="G36" s="691"/>
      <c r="H36" s="693"/>
    </row>
    <row r="37" spans="1:8" ht="15" x14ac:dyDescent="0.2">
      <c r="A37" s="696"/>
      <c r="B37" s="697"/>
      <c r="C37" s="695"/>
      <c r="D37" s="697"/>
      <c r="E37" s="697"/>
      <c r="F37" s="697"/>
      <c r="G37" s="697"/>
      <c r="H37" s="698"/>
    </row>
    <row r="38" spans="1:8" ht="15" x14ac:dyDescent="0.2">
      <c r="A38" s="672"/>
      <c r="B38" s="672"/>
      <c r="C38" s="684"/>
      <c r="D38" s="672"/>
      <c r="E38" s="672"/>
      <c r="F38" s="672"/>
      <c r="G38" s="672"/>
      <c r="H38" s="672"/>
    </row>
    <row r="39" spans="1:8" ht="15" x14ac:dyDescent="0.2">
      <c r="A39" s="686" t="s">
        <v>876</v>
      </c>
      <c r="B39" s="687"/>
      <c r="C39" s="688"/>
      <c r="D39" s="687"/>
      <c r="E39" s="687"/>
      <c r="F39" s="687"/>
      <c r="G39" s="687"/>
      <c r="H39" s="689"/>
    </row>
    <row r="40" spans="1:8" ht="15" x14ac:dyDescent="0.2">
      <c r="A40" s="690"/>
      <c r="B40" s="691" t="s">
        <v>1523</v>
      </c>
      <c r="C40" s="692">
        <f>+C31</f>
        <v>1025111</v>
      </c>
      <c r="D40" s="691"/>
      <c r="E40" s="691"/>
      <c r="F40" s="691"/>
      <c r="G40" s="691"/>
      <c r="H40" s="693"/>
    </row>
    <row r="41" spans="1:8" ht="15" x14ac:dyDescent="0.2">
      <c r="A41" s="690"/>
      <c r="B41" s="691" t="s">
        <v>1202</v>
      </c>
      <c r="C41" s="694">
        <v>1057026</v>
      </c>
      <c r="D41" s="702">
        <f>ROUND((+C41/C30),4)</f>
        <v>5.16E-2</v>
      </c>
      <c r="E41" s="691"/>
      <c r="F41" s="691"/>
      <c r="G41" s="691"/>
      <c r="H41" s="693"/>
    </row>
    <row r="42" spans="1:8" ht="15.75" x14ac:dyDescent="0.25">
      <c r="A42" s="690"/>
      <c r="B42" s="691" t="s">
        <v>827</v>
      </c>
      <c r="C42" s="703">
        <f>+C40-C41</f>
        <v>-31915</v>
      </c>
      <c r="D42" s="691"/>
      <c r="E42" s="691"/>
      <c r="F42" s="691"/>
      <c r="G42" s="691"/>
      <c r="H42" s="693"/>
    </row>
    <row r="43" spans="1:8" ht="15" x14ac:dyDescent="0.2">
      <c r="A43" s="690"/>
      <c r="B43" s="691"/>
      <c r="C43" s="692"/>
      <c r="D43" s="691"/>
      <c r="E43" s="691"/>
      <c r="F43" s="691"/>
      <c r="G43" s="691"/>
      <c r="H43" s="693"/>
    </row>
    <row r="44" spans="1:8" ht="15" hidden="1" x14ac:dyDescent="0.2">
      <c r="A44" s="690"/>
      <c r="B44" s="691" t="s">
        <v>826</v>
      </c>
      <c r="C44" s="692"/>
      <c r="D44" s="691"/>
      <c r="E44" s="691"/>
      <c r="F44" s="691"/>
      <c r="G44" s="691"/>
      <c r="H44" s="693"/>
    </row>
    <row r="45" spans="1:8" ht="15" hidden="1" x14ac:dyDescent="0.2">
      <c r="A45" s="690"/>
      <c r="B45" s="691" t="s">
        <v>825</v>
      </c>
      <c r="C45" s="692">
        <f>ROUND((+C34*0.35),0)</f>
        <v>175977</v>
      </c>
      <c r="D45" s="691"/>
      <c r="E45" s="691"/>
      <c r="F45" s="691"/>
      <c r="G45" s="691"/>
      <c r="H45" s="693"/>
    </row>
    <row r="46" spans="1:8" ht="15" x14ac:dyDescent="0.2">
      <c r="A46" s="696"/>
      <c r="B46" s="697"/>
      <c r="C46" s="695"/>
      <c r="D46" s="697"/>
      <c r="E46" s="697"/>
      <c r="F46" s="697"/>
      <c r="G46" s="697"/>
      <c r="H46" s="698"/>
    </row>
    <row r="47" spans="1:8" ht="15" x14ac:dyDescent="0.2">
      <c r="A47" s="672"/>
      <c r="B47" s="672"/>
      <c r="C47" s="684"/>
      <c r="D47" s="672"/>
      <c r="E47" s="672"/>
      <c r="F47" s="672"/>
      <c r="G47" s="672"/>
      <c r="H47" s="672"/>
    </row>
    <row r="48" spans="1:8" ht="15" x14ac:dyDescent="0.2">
      <c r="A48" s="686" t="s">
        <v>877</v>
      </c>
      <c r="B48" s="687"/>
      <c r="C48" s="688"/>
      <c r="D48" s="687"/>
      <c r="E48" s="687"/>
      <c r="F48" s="687"/>
      <c r="G48" s="687"/>
      <c r="H48" s="689"/>
    </row>
    <row r="49" spans="1:9" ht="15.75" x14ac:dyDescent="0.25">
      <c r="A49" s="690"/>
      <c r="B49" s="691" t="s">
        <v>977</v>
      </c>
      <c r="C49" s="703">
        <f>ROUND((+C30*0.003),0)</f>
        <v>61507</v>
      </c>
      <c r="D49" s="411"/>
      <c r="E49" s="691"/>
      <c r="F49" s="691"/>
      <c r="G49" s="691"/>
      <c r="H49" s="693"/>
    </row>
    <row r="50" spans="1:9" ht="15" x14ac:dyDescent="0.2">
      <c r="A50" s="696"/>
      <c r="B50" s="697"/>
      <c r="C50" s="695"/>
      <c r="D50" s="695"/>
      <c r="E50" s="697"/>
      <c r="F50" s="697"/>
      <c r="G50" s="697"/>
      <c r="H50" s="698"/>
    </row>
    <row r="51" spans="1:9" ht="15" x14ac:dyDescent="0.2">
      <c r="A51" s="691"/>
      <c r="B51" s="691"/>
      <c r="C51" s="692"/>
      <c r="D51" s="691"/>
      <c r="E51" s="691"/>
      <c r="F51" s="691"/>
      <c r="G51" s="691"/>
      <c r="H51" s="691"/>
      <c r="I51" s="101"/>
    </row>
    <row r="52" spans="1:9" ht="15" hidden="1" x14ac:dyDescent="0.2">
      <c r="A52" s="686" t="s">
        <v>976</v>
      </c>
      <c r="B52" s="687"/>
      <c r="C52" s="688"/>
      <c r="D52" s="687"/>
      <c r="E52" s="687"/>
      <c r="F52" s="687"/>
      <c r="G52" s="687"/>
      <c r="H52" s="689"/>
      <c r="I52" s="101"/>
    </row>
    <row r="53" spans="1:9" ht="15" hidden="1" x14ac:dyDescent="0.2">
      <c r="A53" s="690"/>
      <c r="B53" s="691" t="s">
        <v>425</v>
      </c>
      <c r="C53" s="411">
        <v>540285</v>
      </c>
      <c r="D53" s="691"/>
      <c r="E53" s="691"/>
      <c r="F53" s="691"/>
      <c r="G53" s="691"/>
      <c r="H53" s="693"/>
      <c r="I53" s="101"/>
    </row>
    <row r="54" spans="1:9" ht="15" hidden="1" x14ac:dyDescent="0.2">
      <c r="A54" s="690"/>
      <c r="B54" s="691" t="s">
        <v>846</v>
      </c>
      <c r="C54" s="692">
        <f>ROUND((+C30*0.03),0)</f>
        <v>615067</v>
      </c>
      <c r="D54" s="691"/>
      <c r="E54" s="691"/>
      <c r="F54" s="691"/>
      <c r="G54" s="691"/>
      <c r="H54" s="693"/>
      <c r="I54" s="101"/>
    </row>
    <row r="55" spans="1:9" ht="15.75" hidden="1" x14ac:dyDescent="0.25">
      <c r="A55" s="690"/>
      <c r="B55" s="691"/>
      <c r="C55" s="703">
        <f>+C53-C54</f>
        <v>-74782</v>
      </c>
      <c r="D55" s="691" t="s">
        <v>824</v>
      </c>
      <c r="E55" s="691"/>
      <c r="F55" s="691"/>
      <c r="G55" s="691"/>
      <c r="H55" s="693"/>
      <c r="I55" s="101"/>
    </row>
    <row r="56" spans="1:9" ht="15" hidden="1" x14ac:dyDescent="0.2">
      <c r="A56" s="696"/>
      <c r="B56" s="697"/>
      <c r="C56" s="695"/>
      <c r="D56" s="697"/>
      <c r="E56" s="697"/>
      <c r="F56" s="697"/>
      <c r="G56" s="697"/>
      <c r="H56" s="698"/>
      <c r="I56" s="101"/>
    </row>
    <row r="57" spans="1:9" ht="15" hidden="1" x14ac:dyDescent="0.2">
      <c r="A57" s="672"/>
      <c r="B57" s="672"/>
      <c r="C57" s="684"/>
      <c r="D57" s="672"/>
      <c r="E57" s="672"/>
      <c r="F57" s="672"/>
      <c r="G57" s="672"/>
      <c r="H57" s="672"/>
    </row>
    <row r="58" spans="1:9" ht="15" x14ac:dyDescent="0.2">
      <c r="A58" s="686" t="s">
        <v>1203</v>
      </c>
      <c r="B58" s="687"/>
      <c r="C58" s="688"/>
      <c r="D58" s="687"/>
      <c r="E58" s="687"/>
      <c r="F58" s="687"/>
      <c r="G58" s="687"/>
      <c r="H58" s="689"/>
      <c r="I58" s="101"/>
    </row>
    <row r="59" spans="1:9" ht="15.75" x14ac:dyDescent="0.25">
      <c r="A59" s="690"/>
      <c r="B59" s="691" t="s">
        <v>847</v>
      </c>
      <c r="C59" s="703">
        <f>ROUND((+C21*0.002),0)</f>
        <v>41004</v>
      </c>
      <c r="D59" s="411"/>
      <c r="E59" s="691"/>
      <c r="F59" s="691"/>
      <c r="G59" s="691"/>
      <c r="H59" s="693"/>
      <c r="I59" s="101"/>
    </row>
    <row r="60" spans="1:9" ht="15" x14ac:dyDescent="0.2">
      <c r="A60" s="696"/>
      <c r="B60" s="697"/>
      <c r="C60" s="695"/>
      <c r="D60" s="695"/>
      <c r="E60" s="697"/>
      <c r="F60" s="697"/>
      <c r="G60" s="697"/>
      <c r="H60" s="698"/>
      <c r="I60" s="101"/>
    </row>
    <row r="61" spans="1:9" ht="15" x14ac:dyDescent="0.2">
      <c r="A61" s="672"/>
      <c r="B61" s="672"/>
      <c r="C61" s="684"/>
      <c r="D61" s="672"/>
      <c r="E61" s="672"/>
      <c r="F61" s="672"/>
      <c r="G61" s="672"/>
      <c r="H61" s="672"/>
    </row>
    <row r="62" spans="1:9" ht="15" x14ac:dyDescent="0.2">
      <c r="A62" s="686" t="s">
        <v>854</v>
      </c>
      <c r="B62" s="687"/>
      <c r="C62" s="688"/>
      <c r="D62" s="687"/>
      <c r="E62" s="687"/>
      <c r="F62" s="687"/>
      <c r="G62" s="687"/>
      <c r="H62" s="689"/>
      <c r="I62" s="101"/>
    </row>
    <row r="63" spans="1:9" ht="15" x14ac:dyDescent="0.2">
      <c r="A63" s="690"/>
      <c r="B63" s="691"/>
      <c r="C63" s="692"/>
      <c r="D63" s="691"/>
      <c r="E63" s="691"/>
      <c r="F63" s="691"/>
      <c r="G63" s="691"/>
      <c r="H63" s="693"/>
      <c r="I63" s="101"/>
    </row>
    <row r="64" spans="1:9" ht="15" x14ac:dyDescent="0.2">
      <c r="A64" s="690"/>
      <c r="B64" s="691" t="s">
        <v>844</v>
      </c>
      <c r="C64" s="692">
        <f>ROUND((+C21*0.06),0)</f>
        <v>1230133</v>
      </c>
      <c r="D64" s="691"/>
      <c r="E64" s="691"/>
      <c r="F64" s="691"/>
      <c r="G64" s="691"/>
      <c r="H64" s="693"/>
      <c r="I64" s="101"/>
    </row>
    <row r="65" spans="1:9" ht="15" x14ac:dyDescent="0.2">
      <c r="A65" s="690"/>
      <c r="B65" s="691" t="s">
        <v>845</v>
      </c>
      <c r="C65" s="692">
        <f>ROUND((+C21*0.08),0)</f>
        <v>1640177</v>
      </c>
      <c r="D65" s="699"/>
      <c r="E65" s="691"/>
      <c r="F65" s="691"/>
      <c r="G65" s="691"/>
      <c r="H65" s="693"/>
      <c r="I65" s="101"/>
    </row>
    <row r="66" spans="1:9" ht="15" x14ac:dyDescent="0.2">
      <c r="A66" s="690"/>
      <c r="B66" s="691"/>
      <c r="C66" s="692"/>
      <c r="D66" s="691"/>
      <c r="E66" s="691"/>
      <c r="F66" s="691"/>
      <c r="G66" s="691"/>
      <c r="H66" s="693"/>
      <c r="I66" s="101"/>
    </row>
    <row r="67" spans="1:9" ht="15" x14ac:dyDescent="0.2">
      <c r="A67" s="690"/>
      <c r="B67" s="691" t="s">
        <v>839</v>
      </c>
      <c r="C67" s="692"/>
      <c r="D67" s="691"/>
      <c r="E67" s="691"/>
      <c r="F67" s="691"/>
      <c r="G67" s="691"/>
      <c r="H67" s="693"/>
      <c r="I67" s="101"/>
    </row>
    <row r="68" spans="1:9" ht="15" x14ac:dyDescent="0.2">
      <c r="A68" s="690"/>
      <c r="B68" s="691" t="s">
        <v>823</v>
      </c>
      <c r="C68" s="411">
        <f>+'700 Debt '!L29</f>
        <v>580976</v>
      </c>
      <c r="D68" s="699"/>
      <c r="E68" s="691"/>
      <c r="F68" s="691"/>
      <c r="G68" s="691"/>
      <c r="H68" s="693"/>
      <c r="I68" s="101"/>
    </row>
    <row r="69" spans="1:9" ht="15" x14ac:dyDescent="0.2">
      <c r="A69" s="690"/>
      <c r="B69" s="691" t="s">
        <v>822</v>
      </c>
      <c r="C69" s="411">
        <f>+'700 Debt '!L52</f>
        <v>467524</v>
      </c>
      <c r="D69" s="699"/>
      <c r="E69" s="691"/>
      <c r="F69" s="691"/>
      <c r="G69" s="691"/>
      <c r="H69" s="693"/>
      <c r="I69" s="101"/>
    </row>
    <row r="70" spans="1:9" ht="15" x14ac:dyDescent="0.2">
      <c r="A70" s="690"/>
      <c r="B70" s="691" t="s">
        <v>878</v>
      </c>
      <c r="C70" s="411">
        <f>+'Debt Exclusion Calc.'!I7</f>
        <v>123615</v>
      </c>
      <c r="D70" s="699"/>
      <c r="E70" s="691"/>
      <c r="F70" s="691"/>
      <c r="G70" s="691"/>
      <c r="H70" s="693"/>
      <c r="I70" s="101"/>
    </row>
    <row r="71" spans="1:9" ht="15" x14ac:dyDescent="0.2">
      <c r="A71" s="690"/>
      <c r="B71" s="704" t="s">
        <v>604</v>
      </c>
      <c r="C71" s="411">
        <f>+'211 Police'!L55</f>
        <v>53000</v>
      </c>
      <c r="D71" s="705"/>
      <c r="E71" s="691"/>
      <c r="F71" s="691"/>
      <c r="G71" s="691"/>
      <c r="H71" s="693"/>
      <c r="I71" s="101"/>
    </row>
    <row r="72" spans="1:9" ht="15" x14ac:dyDescent="0.2">
      <c r="A72" s="690"/>
      <c r="B72" s="704" t="s">
        <v>1259</v>
      </c>
      <c r="C72" s="411">
        <f>+'420 DPW'!L57</f>
        <v>24090</v>
      </c>
      <c r="D72" s="411"/>
      <c r="E72" s="691"/>
      <c r="F72" s="691"/>
      <c r="G72" s="691"/>
      <c r="H72" s="693"/>
      <c r="I72" s="101"/>
    </row>
    <row r="73" spans="1:9" ht="15" x14ac:dyDescent="0.2">
      <c r="A73" s="690"/>
      <c r="B73" s="767" t="s">
        <v>1672</v>
      </c>
      <c r="C73" s="411">
        <v>37260</v>
      </c>
      <c r="D73" s="411"/>
      <c r="E73" s="691"/>
      <c r="F73" s="691"/>
      <c r="G73" s="691"/>
      <c r="H73" s="693"/>
      <c r="I73" s="101"/>
    </row>
    <row r="74" spans="1:9" ht="15" x14ac:dyDescent="0.2">
      <c r="A74" s="690"/>
      <c r="B74" s="767" t="s">
        <v>1522</v>
      </c>
      <c r="C74" s="411">
        <v>20000</v>
      </c>
      <c r="D74" s="411"/>
      <c r="E74" s="691"/>
      <c r="F74" s="691"/>
      <c r="G74" s="691"/>
      <c r="H74" s="693"/>
      <c r="I74" s="101"/>
    </row>
    <row r="75" spans="1:9" ht="15" x14ac:dyDescent="0.2">
      <c r="A75" s="690"/>
      <c r="B75" s="704" t="s">
        <v>1673</v>
      </c>
      <c r="C75" s="411">
        <v>60000</v>
      </c>
      <c r="D75" s="411"/>
      <c r="E75" s="691"/>
      <c r="F75" s="691"/>
      <c r="G75" s="691"/>
      <c r="H75" s="693"/>
      <c r="I75" s="101"/>
    </row>
    <row r="76" spans="1:9" ht="15" x14ac:dyDescent="0.2">
      <c r="A76" s="690"/>
      <c r="B76" s="704" t="s">
        <v>1674</v>
      </c>
      <c r="C76" s="411">
        <v>50000</v>
      </c>
      <c r="D76" s="411"/>
      <c r="E76" s="691"/>
      <c r="F76" s="691"/>
      <c r="G76" s="691"/>
      <c r="H76" s="693"/>
      <c r="I76" s="101"/>
    </row>
    <row r="77" spans="1:9" ht="15" x14ac:dyDescent="0.2">
      <c r="A77" s="690"/>
      <c r="B77" s="704" t="s">
        <v>1675</v>
      </c>
      <c r="C77" s="411">
        <v>60000</v>
      </c>
      <c r="D77" s="411"/>
      <c r="E77" s="691"/>
      <c r="F77" s="691"/>
      <c r="G77" s="691"/>
      <c r="H77" s="693"/>
      <c r="I77" s="101"/>
    </row>
    <row r="78" spans="1:9" ht="15" x14ac:dyDescent="0.2">
      <c r="A78" s="690"/>
      <c r="B78" s="704"/>
      <c r="C78" s="411"/>
      <c r="D78" s="411"/>
      <c r="E78" s="691"/>
      <c r="F78" s="691"/>
      <c r="G78" s="691"/>
      <c r="H78" s="693"/>
      <c r="I78" s="101"/>
    </row>
    <row r="79" spans="1:9" ht="15" x14ac:dyDescent="0.2">
      <c r="A79" s="690"/>
      <c r="B79" s="704" t="s">
        <v>821</v>
      </c>
      <c r="C79" s="411">
        <v>50000</v>
      </c>
      <c r="D79" s="411" t="s">
        <v>1260</v>
      </c>
      <c r="E79" s="691"/>
      <c r="F79" s="691"/>
      <c r="G79" s="691"/>
      <c r="H79" s="693"/>
      <c r="I79" s="101"/>
    </row>
    <row r="80" spans="1:9" ht="15" x14ac:dyDescent="0.2">
      <c r="A80" s="690" t="s">
        <v>955</v>
      </c>
      <c r="B80" s="691"/>
      <c r="C80" s="692"/>
      <c r="D80" s="699"/>
      <c r="E80" s="691"/>
      <c r="F80" s="691"/>
      <c r="G80" s="691"/>
      <c r="H80" s="693"/>
      <c r="I80" s="101"/>
    </row>
    <row r="81" spans="1:9" ht="15.75" x14ac:dyDescent="0.25">
      <c r="A81" s="690"/>
      <c r="B81" s="691" t="s">
        <v>820</v>
      </c>
      <c r="C81" s="706">
        <f>+C64-SUM(C68:C79)</f>
        <v>-296332</v>
      </c>
      <c r="D81" s="707"/>
      <c r="E81" s="691"/>
      <c r="F81" s="691"/>
      <c r="G81" s="691"/>
      <c r="H81" s="693"/>
      <c r="I81" s="101"/>
    </row>
    <row r="82" spans="1:9" ht="15" x14ac:dyDescent="0.2">
      <c r="A82" s="690"/>
      <c r="B82" s="691" t="s">
        <v>431</v>
      </c>
      <c r="C82" s="692">
        <f>SUM(C68:C81)</f>
        <v>1230133</v>
      </c>
      <c r="D82" s="699"/>
      <c r="E82" s="691"/>
      <c r="F82" s="691"/>
      <c r="G82" s="691"/>
      <c r="H82" s="693"/>
      <c r="I82" s="101"/>
    </row>
    <row r="83" spans="1:9" ht="15" x14ac:dyDescent="0.2">
      <c r="A83" s="690"/>
      <c r="B83" s="691"/>
      <c r="C83" s="692"/>
      <c r="D83" s="699"/>
      <c r="E83" s="691"/>
      <c r="F83" s="691"/>
      <c r="G83" s="691"/>
      <c r="H83" s="693"/>
      <c r="I83" s="101"/>
    </row>
    <row r="84" spans="1:9" ht="15" x14ac:dyDescent="0.2">
      <c r="A84" s="690"/>
      <c r="B84" s="691" t="s">
        <v>1402</v>
      </c>
      <c r="C84" s="692">
        <f>+C65-SUM(C68:C79)</f>
        <v>113712</v>
      </c>
      <c r="D84" s="699"/>
      <c r="E84" s="691"/>
      <c r="F84" s="691"/>
      <c r="G84" s="691"/>
      <c r="H84" s="693"/>
      <c r="I84" s="101"/>
    </row>
    <row r="85" spans="1:9" ht="15" x14ac:dyDescent="0.2">
      <c r="A85" s="690"/>
      <c r="B85" s="691"/>
      <c r="C85" s="692"/>
      <c r="D85" s="699"/>
      <c r="E85" s="691"/>
      <c r="F85" s="691"/>
      <c r="G85" s="691"/>
      <c r="H85" s="693"/>
      <c r="I85" s="101"/>
    </row>
    <row r="86" spans="1:9" ht="15" x14ac:dyDescent="0.2">
      <c r="A86" s="696"/>
      <c r="B86" s="697"/>
      <c r="C86" s="695"/>
      <c r="D86" s="697"/>
      <c r="E86" s="697"/>
      <c r="F86" s="697"/>
      <c r="G86" s="697"/>
      <c r="H86" s="698"/>
      <c r="I86" s="101"/>
    </row>
    <row r="87" spans="1:9" ht="15" x14ac:dyDescent="0.2">
      <c r="A87" s="672"/>
      <c r="B87" s="672"/>
      <c r="C87" s="684"/>
      <c r="D87" s="672"/>
      <c r="E87" s="672"/>
      <c r="F87" s="672"/>
      <c r="G87" s="672"/>
      <c r="H87" s="672"/>
    </row>
    <row r="88" spans="1:9" ht="15.75" x14ac:dyDescent="0.25">
      <c r="A88" s="686" t="s">
        <v>1258</v>
      </c>
      <c r="B88" s="687"/>
      <c r="C88" s="688"/>
      <c r="D88" s="687"/>
      <c r="E88" s="687"/>
      <c r="F88" s="687"/>
      <c r="G88" s="687"/>
      <c r="H88" s="689"/>
      <c r="I88" s="101"/>
    </row>
    <row r="89" spans="1:9" ht="15" x14ac:dyDescent="0.2">
      <c r="A89" s="690" t="s">
        <v>1521</v>
      </c>
      <c r="B89" s="691"/>
      <c r="C89" s="692"/>
      <c r="D89" s="691"/>
      <c r="E89" s="691"/>
      <c r="F89" s="691"/>
      <c r="G89" s="691"/>
      <c r="H89" s="693"/>
      <c r="I89" s="101"/>
    </row>
    <row r="90" spans="1:9" ht="15" x14ac:dyDescent="0.2">
      <c r="A90" s="690"/>
      <c r="B90" s="691"/>
      <c r="C90" s="692"/>
      <c r="D90" s="691"/>
      <c r="E90" s="691"/>
      <c r="F90" s="691"/>
      <c r="G90" s="691"/>
      <c r="H90" s="693"/>
      <c r="I90" s="101"/>
    </row>
    <row r="91" spans="1:9" ht="15" x14ac:dyDescent="0.2">
      <c r="A91" s="690"/>
      <c r="B91" s="691" t="s">
        <v>836</v>
      </c>
      <c r="D91" s="691"/>
      <c r="E91" s="691" t="s">
        <v>839</v>
      </c>
      <c r="F91" s="691"/>
      <c r="G91" s="691"/>
      <c r="H91" s="693"/>
      <c r="I91" s="101"/>
    </row>
    <row r="92" spans="1:9" ht="15" x14ac:dyDescent="0.2">
      <c r="A92" s="690"/>
      <c r="B92" s="691" t="s">
        <v>819</v>
      </c>
      <c r="C92" s="411">
        <f>+'Revenue Projections Detail'!K16</f>
        <v>19598503</v>
      </c>
      <c r="D92" s="411">
        <v>50000</v>
      </c>
      <c r="E92" s="691" t="s">
        <v>821</v>
      </c>
      <c r="F92" s="691"/>
      <c r="G92" s="691"/>
      <c r="H92" s="693"/>
      <c r="I92" s="101"/>
    </row>
    <row r="93" spans="1:9" ht="15" x14ac:dyDescent="0.2">
      <c r="A93" s="690"/>
      <c r="B93" s="691" t="s">
        <v>837</v>
      </c>
      <c r="C93" s="411">
        <f>+'Revenue Projections Detail'!K28</f>
        <v>1795836</v>
      </c>
      <c r="D93" s="411">
        <f>+'Working Budget with funding det'!L184</f>
        <v>10000</v>
      </c>
      <c r="E93" s="704" t="s">
        <v>1667</v>
      </c>
      <c r="F93" s="691"/>
      <c r="G93" s="691"/>
      <c r="H93" s="693"/>
      <c r="I93" s="101"/>
    </row>
    <row r="94" spans="1:9" ht="15" x14ac:dyDescent="0.2">
      <c r="A94" s="690"/>
      <c r="B94" s="691" t="s">
        <v>838</v>
      </c>
      <c r="C94" s="694">
        <f>+'Revenue Projections Detail'!K55</f>
        <v>1718900</v>
      </c>
      <c r="D94" s="411">
        <v>10000</v>
      </c>
      <c r="E94" s="704" t="s">
        <v>1668</v>
      </c>
      <c r="F94" s="691"/>
      <c r="G94" s="691"/>
      <c r="H94" s="693"/>
      <c r="I94" s="101"/>
    </row>
    <row r="95" spans="1:9" ht="15" x14ac:dyDescent="0.2">
      <c r="A95" s="690"/>
      <c r="B95" s="691" t="s">
        <v>842</v>
      </c>
      <c r="C95" s="411">
        <f>SUM(C92:C94)</f>
        <v>23113239</v>
      </c>
      <c r="D95" s="411">
        <v>10000</v>
      </c>
      <c r="E95" s="704" t="s">
        <v>1669</v>
      </c>
      <c r="F95" s="691"/>
      <c r="G95" s="691"/>
      <c r="H95" s="693"/>
      <c r="I95" s="101"/>
    </row>
    <row r="96" spans="1:9" ht="15" x14ac:dyDescent="0.2">
      <c r="A96" s="690"/>
      <c r="B96" s="691"/>
      <c r="C96" s="411"/>
      <c r="D96" s="411">
        <v>20000</v>
      </c>
      <c r="E96" s="704" t="s">
        <v>1522</v>
      </c>
      <c r="F96" s="691"/>
      <c r="G96" s="691"/>
      <c r="H96" s="693"/>
      <c r="I96" s="101"/>
    </row>
    <row r="97" spans="1:9" ht="15" x14ac:dyDescent="0.2">
      <c r="A97" s="690"/>
      <c r="B97" s="691"/>
      <c r="C97" s="411"/>
      <c r="D97" s="411">
        <v>50000</v>
      </c>
      <c r="E97" s="704" t="s">
        <v>1670</v>
      </c>
      <c r="F97" s="691"/>
      <c r="G97" s="691"/>
      <c r="H97" s="693"/>
      <c r="I97" s="101"/>
    </row>
    <row r="98" spans="1:9" ht="15" x14ac:dyDescent="0.2">
      <c r="A98" s="690"/>
      <c r="B98" s="691"/>
      <c r="C98" s="411"/>
      <c r="D98" s="411">
        <v>40000</v>
      </c>
      <c r="E98" s="704" t="s">
        <v>1671</v>
      </c>
      <c r="F98" s="691"/>
      <c r="G98" s="691"/>
      <c r="H98" s="693"/>
      <c r="I98" s="101"/>
    </row>
    <row r="99" spans="1:9" ht="15" x14ac:dyDescent="0.2">
      <c r="A99" s="690"/>
      <c r="B99" s="691"/>
      <c r="C99" s="411"/>
      <c r="D99" s="411"/>
      <c r="E99" s="704"/>
      <c r="F99" s="691"/>
      <c r="G99" s="691"/>
      <c r="H99" s="693"/>
      <c r="I99" s="101"/>
    </row>
    <row r="100" spans="1:9" ht="15" x14ac:dyDescent="0.2">
      <c r="A100" s="690"/>
      <c r="B100" s="691"/>
      <c r="C100" s="411"/>
      <c r="D100" s="694">
        <f>+'211 Police'!L55</f>
        <v>53000</v>
      </c>
      <c r="E100" s="704" t="s">
        <v>604</v>
      </c>
      <c r="F100" s="691"/>
      <c r="G100" s="691"/>
      <c r="H100" s="693"/>
      <c r="I100" s="101"/>
    </row>
    <row r="101" spans="1:9" ht="15" x14ac:dyDescent="0.2">
      <c r="A101" s="690"/>
      <c r="B101" s="691" t="s">
        <v>843</v>
      </c>
      <c r="C101" s="411">
        <f>ROUND((+C95*0.02),0)</f>
        <v>462265</v>
      </c>
      <c r="D101" s="692">
        <f>SUM(D92:D100)</f>
        <v>243000</v>
      </c>
      <c r="E101" s="691" t="s">
        <v>431</v>
      </c>
      <c r="F101" s="691"/>
      <c r="G101" s="691"/>
      <c r="H101" s="693"/>
      <c r="I101" s="101"/>
    </row>
    <row r="102" spans="1:9" ht="15" x14ac:dyDescent="0.2">
      <c r="A102" s="696"/>
      <c r="B102" s="697"/>
      <c r="C102" s="695"/>
      <c r="D102" s="697"/>
      <c r="E102" s="697"/>
      <c r="F102" s="697"/>
      <c r="G102" s="697"/>
      <c r="H102" s="698"/>
      <c r="I102" s="101"/>
    </row>
    <row r="103" spans="1:9" ht="15" x14ac:dyDescent="0.2">
      <c r="A103" s="672"/>
      <c r="B103" s="672"/>
      <c r="C103" s="684"/>
      <c r="D103" s="672"/>
      <c r="E103" s="672"/>
      <c r="F103" s="672"/>
      <c r="G103" s="672"/>
      <c r="H103" s="672"/>
    </row>
    <row r="104" spans="1:9" ht="15" x14ac:dyDescent="0.2">
      <c r="A104" s="686" t="s">
        <v>840</v>
      </c>
      <c r="B104" s="687"/>
      <c r="C104" s="688"/>
      <c r="D104" s="687"/>
      <c r="E104" s="687"/>
      <c r="F104" s="687"/>
      <c r="G104" s="687"/>
      <c r="H104" s="689"/>
      <c r="I104" s="101"/>
    </row>
    <row r="105" spans="1:9" ht="15" x14ac:dyDescent="0.2">
      <c r="A105" s="690"/>
      <c r="B105" s="691" t="s">
        <v>841</v>
      </c>
      <c r="C105" s="692"/>
      <c r="D105" s="691"/>
      <c r="E105" s="691"/>
      <c r="F105" s="691"/>
      <c r="G105" s="691"/>
      <c r="H105" s="693"/>
      <c r="I105" s="101"/>
    </row>
    <row r="106" spans="1:9" ht="15" x14ac:dyDescent="0.2">
      <c r="A106" s="690"/>
      <c r="B106" s="691" t="s">
        <v>823</v>
      </c>
      <c r="C106" s="692">
        <f>+C68</f>
        <v>580976</v>
      </c>
      <c r="D106" s="691"/>
      <c r="E106" s="691"/>
      <c r="F106" s="691"/>
      <c r="G106" s="691"/>
      <c r="H106" s="693"/>
      <c r="I106" s="101"/>
    </row>
    <row r="107" spans="1:9" ht="15" x14ac:dyDescent="0.2">
      <c r="A107" s="690"/>
      <c r="B107" s="691" t="s">
        <v>822</v>
      </c>
      <c r="C107" s="692">
        <f>+C69</f>
        <v>467524</v>
      </c>
      <c r="D107" s="691"/>
      <c r="E107" s="691"/>
      <c r="F107" s="691"/>
      <c r="G107" s="691"/>
      <c r="H107" s="693"/>
      <c r="I107" s="101"/>
    </row>
    <row r="108" spans="1:9" ht="15" x14ac:dyDescent="0.2">
      <c r="A108" s="690"/>
      <c r="B108" s="691" t="s">
        <v>849</v>
      </c>
      <c r="C108" s="692">
        <f>SUM(C106:C107)</f>
        <v>1048500</v>
      </c>
      <c r="D108" s="691"/>
      <c r="E108" s="691"/>
      <c r="F108" s="691"/>
      <c r="G108" s="691"/>
      <c r="H108" s="693"/>
      <c r="I108" s="101"/>
    </row>
    <row r="109" spans="1:9" ht="15" x14ac:dyDescent="0.2">
      <c r="A109" s="690"/>
      <c r="B109" s="691" t="s">
        <v>850</v>
      </c>
      <c r="C109" s="708">
        <f>ROUND((+C108/C21),4)</f>
        <v>5.11E-2</v>
      </c>
      <c r="D109" s="691"/>
      <c r="E109" s="691"/>
      <c r="F109" s="691"/>
      <c r="G109" s="691"/>
      <c r="H109" s="693"/>
      <c r="I109" s="101"/>
    </row>
    <row r="110" spans="1:9" ht="15" x14ac:dyDescent="0.2">
      <c r="A110" s="690"/>
      <c r="B110" s="691" t="s">
        <v>828</v>
      </c>
      <c r="C110" s="709">
        <v>0.15</v>
      </c>
      <c r="D110" s="691"/>
      <c r="E110" s="691"/>
      <c r="F110" s="691"/>
      <c r="G110" s="691"/>
      <c r="H110" s="693"/>
      <c r="I110" s="101"/>
    </row>
    <row r="111" spans="1:9" ht="15" x14ac:dyDescent="0.2">
      <c r="A111" s="690"/>
      <c r="B111" s="691"/>
      <c r="C111" s="692"/>
      <c r="D111" s="691"/>
      <c r="E111" s="691"/>
      <c r="F111" s="691"/>
      <c r="G111" s="691"/>
      <c r="H111" s="693"/>
      <c r="I111" s="101"/>
    </row>
    <row r="112" spans="1:9" ht="15" x14ac:dyDescent="0.2">
      <c r="A112" s="690"/>
      <c r="B112" s="691" t="s">
        <v>1204</v>
      </c>
      <c r="C112" s="692"/>
      <c r="D112" s="691"/>
      <c r="E112" s="691"/>
      <c r="F112" s="691"/>
      <c r="G112" s="691"/>
      <c r="H112" s="693"/>
      <c r="I112" s="101"/>
    </row>
    <row r="113" spans="1:9" ht="15" x14ac:dyDescent="0.2">
      <c r="A113" s="690"/>
      <c r="B113" s="691" t="s">
        <v>851</v>
      </c>
      <c r="C113" s="692">
        <f>+C108</f>
        <v>1048500</v>
      </c>
      <c r="D113" s="691"/>
      <c r="E113" s="691"/>
      <c r="F113" s="691"/>
      <c r="G113" s="691"/>
      <c r="H113" s="693"/>
      <c r="I113" s="101"/>
    </row>
    <row r="114" spans="1:9" ht="15" x14ac:dyDescent="0.2">
      <c r="A114" s="690"/>
      <c r="B114" s="691" t="s">
        <v>852</v>
      </c>
      <c r="C114" s="692">
        <f>-'Debt Exclusion Calc.'!G27</f>
        <v>-978302</v>
      </c>
      <c r="D114" s="691"/>
      <c r="E114" s="691"/>
      <c r="F114" s="691"/>
      <c r="G114" s="691"/>
      <c r="H114" s="693"/>
      <c r="I114" s="101"/>
    </row>
    <row r="115" spans="1:9" ht="15" x14ac:dyDescent="0.2">
      <c r="A115" s="690"/>
      <c r="B115" s="691" t="s">
        <v>853</v>
      </c>
      <c r="C115" s="692">
        <f>SUM(C113:C114)</f>
        <v>70198</v>
      </c>
      <c r="D115" s="691"/>
      <c r="E115" s="691"/>
      <c r="F115" s="691"/>
      <c r="G115" s="691"/>
      <c r="H115" s="693"/>
      <c r="I115" s="101"/>
    </row>
    <row r="116" spans="1:9" ht="15.75" x14ac:dyDescent="0.25">
      <c r="A116" s="690"/>
      <c r="B116" s="691" t="s">
        <v>975</v>
      </c>
      <c r="C116" s="708">
        <f>ROUND((+C115/C21),4)</f>
        <v>3.3999999999999998E-3</v>
      </c>
      <c r="D116" s="704" t="s">
        <v>879</v>
      </c>
      <c r="E116" s="710"/>
      <c r="F116" s="691"/>
      <c r="G116" s="691"/>
      <c r="H116" s="693"/>
      <c r="I116" s="101"/>
    </row>
    <row r="117" spans="1:9" ht="15" x14ac:dyDescent="0.2">
      <c r="A117" s="690"/>
      <c r="B117" s="691"/>
      <c r="C117" s="692"/>
      <c r="D117" s="691"/>
      <c r="E117" s="691"/>
      <c r="F117" s="691"/>
      <c r="G117" s="691"/>
      <c r="H117" s="693"/>
      <c r="I117" s="101"/>
    </row>
    <row r="118" spans="1:9" ht="15" x14ac:dyDescent="0.2">
      <c r="A118" s="690"/>
      <c r="B118" s="691" t="s">
        <v>829</v>
      </c>
      <c r="C118" s="709">
        <v>0.02</v>
      </c>
      <c r="D118" s="691"/>
      <c r="E118" s="691"/>
      <c r="F118" s="691"/>
      <c r="G118" s="691"/>
      <c r="H118" s="693"/>
      <c r="I118" s="101"/>
    </row>
    <row r="119" spans="1:9" ht="15" x14ac:dyDescent="0.2">
      <c r="A119" s="696"/>
      <c r="B119" s="697" t="s">
        <v>828</v>
      </c>
      <c r="C119" s="711">
        <v>0.05</v>
      </c>
      <c r="D119" s="697"/>
      <c r="E119" s="697"/>
      <c r="F119" s="697"/>
      <c r="G119" s="697"/>
      <c r="H119" s="698"/>
      <c r="I119" s="101"/>
    </row>
    <row r="120" spans="1:9" x14ac:dyDescent="0.2">
      <c r="C120" s="1"/>
    </row>
    <row r="121" spans="1:9" x14ac:dyDescent="0.2">
      <c r="C121" s="1"/>
    </row>
    <row r="122" spans="1:9" x14ac:dyDescent="0.2">
      <c r="C122" s="1"/>
    </row>
    <row r="123" spans="1:9" x14ac:dyDescent="0.2">
      <c r="C123" s="1"/>
    </row>
    <row r="124" spans="1:9" x14ac:dyDescent="0.2">
      <c r="C124" s="1"/>
    </row>
    <row r="125" spans="1:9" x14ac:dyDescent="0.2">
      <c r="C125" s="1"/>
    </row>
    <row r="126" spans="1:9" x14ac:dyDescent="0.2">
      <c r="C126" s="1"/>
    </row>
    <row r="127" spans="1:9" x14ac:dyDescent="0.2">
      <c r="C127" s="1"/>
    </row>
    <row r="128" spans="1:9"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row r="150" spans="3:3" x14ac:dyDescent="0.2">
      <c r="C150" s="1"/>
    </row>
    <row r="151" spans="3:3" x14ac:dyDescent="0.2">
      <c r="C151" s="1"/>
    </row>
    <row r="152" spans="3:3" x14ac:dyDescent="0.2">
      <c r="C152" s="1"/>
    </row>
    <row r="153" spans="3:3" x14ac:dyDescent="0.2">
      <c r="C153" s="1"/>
    </row>
    <row r="154" spans="3:3" x14ac:dyDescent="0.2">
      <c r="C154" s="1"/>
    </row>
    <row r="155" spans="3:3" x14ac:dyDescent="0.2">
      <c r="C155" s="1"/>
    </row>
    <row r="156" spans="3:3" x14ac:dyDescent="0.2">
      <c r="C156" s="1"/>
    </row>
    <row r="157" spans="3:3" x14ac:dyDescent="0.2">
      <c r="C157" s="1"/>
    </row>
    <row r="158" spans="3:3" x14ac:dyDescent="0.2">
      <c r="C158" s="1"/>
    </row>
    <row r="159" spans="3:3" x14ac:dyDescent="0.2">
      <c r="C159" s="1"/>
    </row>
    <row r="160" spans="3:3" x14ac:dyDescent="0.2">
      <c r="C160" s="1"/>
    </row>
    <row r="161" spans="3:3" x14ac:dyDescent="0.2">
      <c r="C161" s="1"/>
    </row>
    <row r="162" spans="3:3" x14ac:dyDescent="0.2">
      <c r="C162" s="1"/>
    </row>
    <row r="163" spans="3:3" x14ac:dyDescent="0.2">
      <c r="C163" s="1"/>
    </row>
    <row r="164" spans="3:3" x14ac:dyDescent="0.2">
      <c r="C164" s="1"/>
    </row>
    <row r="165" spans="3:3" x14ac:dyDescent="0.2">
      <c r="C165" s="1"/>
    </row>
    <row r="166" spans="3:3" x14ac:dyDescent="0.2">
      <c r="C166" s="1"/>
    </row>
    <row r="167" spans="3:3" x14ac:dyDescent="0.2">
      <c r="C167" s="1"/>
    </row>
    <row r="168" spans="3:3" x14ac:dyDescent="0.2">
      <c r="C168" s="1"/>
    </row>
    <row r="169" spans="3:3" x14ac:dyDescent="0.2">
      <c r="C169" s="1"/>
    </row>
    <row r="170" spans="3:3" x14ac:dyDescent="0.2">
      <c r="C170" s="1"/>
    </row>
  </sheetData>
  <hyperlinks>
    <hyperlink ref="D1" location="'Table of Contents'!A1" display="TOC"/>
  </hyperlinks>
  <pageMargins left="0.7" right="0.7" top="0.75" bottom="0.75" header="0.3" footer="0.3"/>
  <pageSetup scale="86" fitToHeight="0" orientation="portrait" r:id="rId1"/>
  <headerFooter>
    <oddFooter>&amp;L&amp;D &amp;T&amp;C&amp;F&amp;R&amp;A&amp;P</oddFooter>
  </headerFooter>
  <rowBreaks count="1" manualBreakCount="1">
    <brk id="60" max="7"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4"/>
  <sheetViews>
    <sheetView zoomScale="85" workbookViewId="0">
      <pane ySplit="7" topLeftCell="A8" activePane="bottomLeft" state="frozen"/>
      <selection activeCell="K15" sqref="K15"/>
      <selection pane="bottomLeft" activeCell="K15" sqref="K15"/>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4" width="14.5" style="1" customWidth="1"/>
    <col min="15" max="17" width="14.5" customWidth="1"/>
    <col min="18" max="18" width="14.6640625" style="2" customWidth="1"/>
  </cols>
  <sheetData>
    <row r="1" spans="1:17" x14ac:dyDescent="0.2">
      <c r="A1" s="410" t="s">
        <v>1013</v>
      </c>
      <c r="B1" s="410" t="s">
        <v>1418</v>
      </c>
      <c r="N1"/>
    </row>
    <row r="2" spans="1:17" ht="15" x14ac:dyDescent="0.25">
      <c r="A2" s="49" t="s">
        <v>258</v>
      </c>
      <c r="B2" s="49"/>
      <c r="E2" s="153"/>
      <c r="H2" s="153" t="s">
        <v>252</v>
      </c>
      <c r="I2" s="153"/>
      <c r="J2" s="153"/>
      <c r="K2" s="67" t="s">
        <v>318</v>
      </c>
      <c r="M2" s="50" t="s">
        <v>494</v>
      </c>
    </row>
    <row r="3" spans="1:17" ht="13.5" thickBot="1" x14ac:dyDescent="0.25">
      <c r="A3" s="4"/>
      <c r="B3" s="4"/>
      <c r="C3" s="25"/>
      <c r="D3" s="25"/>
      <c r="E3" s="25"/>
      <c r="F3" s="25"/>
      <c r="G3" s="25"/>
      <c r="H3" s="25"/>
      <c r="I3" s="25"/>
      <c r="J3" s="25"/>
      <c r="K3" s="4"/>
      <c r="L3" s="25"/>
      <c r="M3" s="4"/>
      <c r="N3" s="4"/>
      <c r="Q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120"/>
      <c r="G5" s="94"/>
      <c r="H5" s="120"/>
      <c r="I5" s="318"/>
      <c r="J5" s="318"/>
      <c r="K5" s="120" t="s">
        <v>509</v>
      </c>
      <c r="L5" s="95" t="s">
        <v>7</v>
      </c>
      <c r="M5" s="209" t="s">
        <v>783</v>
      </c>
    </row>
    <row r="6" spans="1:17" x14ac:dyDescent="0.2">
      <c r="A6" s="93"/>
      <c r="B6" s="216"/>
      <c r="C6" s="137"/>
      <c r="D6" s="137"/>
      <c r="E6" s="137"/>
      <c r="F6" s="137"/>
      <c r="G6" s="137"/>
      <c r="H6" s="137"/>
      <c r="I6" s="95"/>
      <c r="J6" s="95"/>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7" ht="13.5" thickTop="1" x14ac:dyDescent="0.2">
      <c r="A8" s="30"/>
      <c r="B8" s="218"/>
      <c r="C8" s="142"/>
      <c r="D8" s="19"/>
      <c r="E8" s="19"/>
      <c r="F8" s="19"/>
      <c r="G8" s="19"/>
      <c r="H8" s="19"/>
      <c r="I8" s="20"/>
      <c r="J8" s="20"/>
      <c r="K8" s="19"/>
      <c r="L8" s="20"/>
      <c r="M8" s="20"/>
    </row>
    <row r="9" spans="1:17" x14ac:dyDescent="0.2">
      <c r="A9" s="12">
        <v>5771</v>
      </c>
      <c r="B9" s="69" t="s">
        <v>215</v>
      </c>
      <c r="C9" s="140">
        <v>139890.25</v>
      </c>
      <c r="D9" s="14">
        <v>146786.22</v>
      </c>
      <c r="E9" s="14">
        <v>155125.34</v>
      </c>
      <c r="F9" s="14">
        <v>142242.03</v>
      </c>
      <c r="G9" s="14">
        <v>112649.07</v>
      </c>
      <c r="H9" s="14">
        <v>82486.720000000001</v>
      </c>
      <c r="I9" s="14">
        <v>71893.36</v>
      </c>
      <c r="J9" s="15">
        <v>90000</v>
      </c>
      <c r="K9" s="14">
        <v>36378.94</v>
      </c>
      <c r="L9" s="15">
        <v>91800</v>
      </c>
      <c r="M9" s="15"/>
    </row>
    <row r="10" spans="1:17" x14ac:dyDescent="0.2">
      <c r="A10" s="12">
        <v>5774</v>
      </c>
      <c r="B10" s="69" t="s">
        <v>216</v>
      </c>
      <c r="C10" s="140">
        <v>4102.79</v>
      </c>
      <c r="D10" s="14">
        <v>4039.92</v>
      </c>
      <c r="E10" s="14">
        <v>2826</v>
      </c>
      <c r="F10" s="14">
        <v>2292.12</v>
      </c>
      <c r="G10" s="14">
        <v>525</v>
      </c>
      <c r="H10" s="14">
        <v>2382.6</v>
      </c>
      <c r="I10" s="14">
        <v>2281.8000000000002</v>
      </c>
      <c r="J10" s="15">
        <v>1600</v>
      </c>
      <c r="K10" s="14">
        <v>208</v>
      </c>
      <c r="L10" s="15">
        <v>1600</v>
      </c>
      <c r="M10" s="15"/>
    </row>
    <row r="11" spans="1:17" ht="13.5" thickBot="1" x14ac:dyDescent="0.25">
      <c r="A11" s="12">
        <v>5776</v>
      </c>
      <c r="B11" s="69" t="s">
        <v>217</v>
      </c>
      <c r="C11" s="141"/>
      <c r="D11" s="16">
        <v>4000</v>
      </c>
      <c r="E11" s="16">
        <v>4000</v>
      </c>
      <c r="F11" s="16"/>
      <c r="G11" s="16"/>
      <c r="H11" s="16"/>
      <c r="I11" s="16">
        <v>0</v>
      </c>
      <c r="J11" s="17">
        <v>5000</v>
      </c>
      <c r="K11" s="16">
        <v>3236.95</v>
      </c>
      <c r="L11" s="17">
        <v>5000</v>
      </c>
      <c r="M11" s="17"/>
    </row>
    <row r="12" spans="1:17" x14ac:dyDescent="0.2">
      <c r="A12" s="12"/>
      <c r="B12" s="70" t="s">
        <v>442</v>
      </c>
      <c r="C12" s="142">
        <f t="shared" ref="C12:L12" si="0">SUM(C9:C11)</f>
        <v>143993.04</v>
      </c>
      <c r="D12" s="19">
        <f t="shared" si="0"/>
        <v>154826.14000000001</v>
      </c>
      <c r="E12" s="19">
        <f>SUM(E9:E11)</f>
        <v>161951.34</v>
      </c>
      <c r="F12" s="19">
        <f>SUM(F9:F11)</f>
        <v>144534.15</v>
      </c>
      <c r="G12" s="19">
        <f>SUM(G9:G11)</f>
        <v>113174.07</v>
      </c>
      <c r="H12" s="19">
        <f>SUM(H9:H11)</f>
        <v>84869.32</v>
      </c>
      <c r="I12" s="19">
        <f t="shared" si="0"/>
        <v>74175.16</v>
      </c>
      <c r="J12" s="20">
        <f t="shared" ref="J12" si="1">SUM(J9:J11)</f>
        <v>96600</v>
      </c>
      <c r="K12" s="19">
        <f t="shared" si="0"/>
        <v>39823.89</v>
      </c>
      <c r="L12" s="20">
        <f t="shared" si="0"/>
        <v>98400</v>
      </c>
      <c r="M12" s="20">
        <f>SUM(M9:M11)</f>
        <v>0</v>
      </c>
    </row>
    <row r="13" spans="1:17" x14ac:dyDescent="0.2">
      <c r="A13" s="12"/>
      <c r="B13" s="69"/>
      <c r="C13" s="140"/>
      <c r="D13" s="14"/>
      <c r="E13" s="14"/>
      <c r="F13" s="14"/>
      <c r="G13" s="14"/>
      <c r="H13" s="14"/>
      <c r="I13" s="14"/>
      <c r="J13" s="15"/>
      <c r="K13" s="14"/>
      <c r="L13" s="15"/>
      <c r="M13" s="15"/>
    </row>
    <row r="14" spans="1:17" x14ac:dyDescent="0.2">
      <c r="A14" s="12"/>
      <c r="B14" s="69"/>
      <c r="C14" s="140"/>
      <c r="D14" s="14"/>
      <c r="E14" s="14"/>
      <c r="F14" s="14"/>
      <c r="G14" s="14"/>
      <c r="H14" s="14"/>
      <c r="I14" s="14"/>
      <c r="J14" s="15"/>
      <c r="K14" s="14"/>
      <c r="L14" s="15"/>
      <c r="M14" s="15"/>
    </row>
    <row r="15" spans="1:17" ht="13.5" thickBot="1" x14ac:dyDescent="0.25">
      <c r="A15" s="21"/>
      <c r="B15" s="825" t="s">
        <v>663</v>
      </c>
      <c r="C15" s="816">
        <f t="shared" ref="C15:L15" si="2">+C12</f>
        <v>143993.04</v>
      </c>
      <c r="D15" s="23">
        <f t="shared" si="2"/>
        <v>154826.14000000001</v>
      </c>
      <c r="E15" s="23">
        <f t="shared" si="2"/>
        <v>161951.34</v>
      </c>
      <c r="F15" s="23">
        <f>+F12</f>
        <v>144534.15</v>
      </c>
      <c r="G15" s="23">
        <f>+G12</f>
        <v>113174.07</v>
      </c>
      <c r="H15" s="23">
        <f>+H12</f>
        <v>84869.32</v>
      </c>
      <c r="I15" s="23">
        <f t="shared" si="2"/>
        <v>74175.16</v>
      </c>
      <c r="J15" s="24">
        <f t="shared" ref="J15" si="3">+J12</f>
        <v>96600</v>
      </c>
      <c r="K15" s="23">
        <f t="shared" si="2"/>
        <v>39823.89</v>
      </c>
      <c r="L15" s="24">
        <f t="shared" si="2"/>
        <v>98400</v>
      </c>
      <c r="M15" s="24">
        <f>+L15</f>
        <v>98400</v>
      </c>
    </row>
    <row r="16" spans="1:17" ht="13.5" thickTop="1" x14ac:dyDescent="0.2">
      <c r="A16" s="4"/>
      <c r="B16" s="826"/>
      <c r="C16" s="26"/>
      <c r="D16" s="26"/>
      <c r="E16" s="26"/>
      <c r="F16" s="26"/>
      <c r="G16" s="26"/>
      <c r="H16" s="26"/>
      <c r="I16" s="26"/>
      <c r="J16" s="26"/>
      <c r="K16" s="27"/>
      <c r="L16" s="26"/>
      <c r="M16" s="84"/>
      <c r="N16" s="25"/>
      <c r="O16" s="27"/>
      <c r="P16" s="27"/>
      <c r="Q16" s="27"/>
    </row>
    <row r="17" spans="1:17" x14ac:dyDescent="0.2">
      <c r="A17" s="72"/>
      <c r="B17" s="826"/>
      <c r="C17" s="25"/>
      <c r="D17" s="25"/>
      <c r="E17" s="25"/>
      <c r="F17" s="25"/>
      <c r="G17" s="25"/>
      <c r="H17" s="25"/>
      <c r="I17" s="25"/>
      <c r="J17" s="25"/>
      <c r="K17" s="29"/>
      <c r="L17" s="25"/>
      <c r="M17" s="84"/>
      <c r="N17" s="29"/>
      <c r="O17" s="29"/>
      <c r="P17" s="29"/>
      <c r="Q17" s="29"/>
    </row>
    <row r="18" spans="1:17" ht="13.5" thickBot="1" x14ac:dyDescent="0.25">
      <c r="A18" s="72"/>
      <c r="B18" s="826"/>
      <c r="C18" s="26"/>
      <c r="D18" s="26"/>
      <c r="E18" s="26"/>
      <c r="F18" s="26"/>
      <c r="G18" s="26"/>
      <c r="H18" s="26"/>
      <c r="I18" s="26"/>
      <c r="J18" s="26"/>
      <c r="K18" s="27"/>
      <c r="L18" s="26"/>
      <c r="M18" s="26"/>
      <c r="N18" s="26"/>
      <c r="O18" s="27"/>
      <c r="P18" s="27"/>
      <c r="Q18" s="27"/>
    </row>
    <row r="19" spans="1:17" ht="13.5" thickTop="1" x14ac:dyDescent="0.2">
      <c r="A19" s="517"/>
      <c r="B19" s="518"/>
      <c r="C19" s="519" t="s">
        <v>122</v>
      </c>
      <c r="D19" s="520" t="s">
        <v>122</v>
      </c>
      <c r="E19" s="520" t="s">
        <v>122</v>
      </c>
      <c r="H19" s="521" t="s">
        <v>542</v>
      </c>
      <c r="I19" s="522" t="s">
        <v>9</v>
      </c>
      <c r="J19" s="523" t="s">
        <v>1073</v>
      </c>
      <c r="K19" s="522" t="s">
        <v>682</v>
      </c>
      <c r="L19" s="524"/>
      <c r="M19" s="523"/>
      <c r="N19" s="26"/>
      <c r="O19" s="27"/>
      <c r="P19" s="27"/>
      <c r="Q19" s="27"/>
    </row>
    <row r="20" spans="1:17" ht="13.5" thickBot="1" x14ac:dyDescent="0.25">
      <c r="A20" s="525" t="s">
        <v>123</v>
      </c>
      <c r="B20" s="526"/>
      <c r="C20" s="527" t="s">
        <v>334</v>
      </c>
      <c r="D20" s="527" t="s">
        <v>718</v>
      </c>
      <c r="E20" s="528" t="s">
        <v>734</v>
      </c>
      <c r="H20" s="529" t="s">
        <v>899</v>
      </c>
      <c r="I20" s="529" t="s">
        <v>900</v>
      </c>
      <c r="J20" s="528" t="s">
        <v>1075</v>
      </c>
      <c r="K20" s="530" t="s">
        <v>1075</v>
      </c>
      <c r="L20" s="531" t="s">
        <v>1074</v>
      </c>
      <c r="M20" s="529"/>
      <c r="N20" s="25"/>
      <c r="O20" s="29"/>
      <c r="P20" s="29"/>
      <c r="Q20" s="29"/>
    </row>
    <row r="21" spans="1:17" ht="13.5" thickTop="1" x14ac:dyDescent="0.2">
      <c r="A21" s="548"/>
      <c r="B21" s="549"/>
      <c r="C21" s="536"/>
      <c r="D21" s="536"/>
      <c r="E21" s="536"/>
      <c r="H21" s="537"/>
      <c r="I21" s="536"/>
      <c r="J21" s="572">
        <f>+I21-H21</f>
        <v>0</v>
      </c>
      <c r="K21" s="545"/>
      <c r="L21" s="538"/>
      <c r="M21" s="539"/>
      <c r="N21" s="25"/>
      <c r="O21" s="29"/>
      <c r="P21" s="29"/>
      <c r="Q21" s="29"/>
    </row>
    <row r="22" spans="1:17" x14ac:dyDescent="0.2">
      <c r="A22" s="551">
        <v>5771</v>
      </c>
      <c r="B22" s="540" t="s">
        <v>215</v>
      </c>
      <c r="C22" s="544">
        <v>139890.25</v>
      </c>
      <c r="D22" s="544">
        <v>146786.22</v>
      </c>
      <c r="E22" s="544">
        <v>155125.34</v>
      </c>
      <c r="H22" s="543">
        <f>+J9</f>
        <v>90000</v>
      </c>
      <c r="I22" s="569">
        <f>+L9</f>
        <v>91800</v>
      </c>
      <c r="J22" s="572">
        <f>+I22-H22</f>
        <v>1800</v>
      </c>
      <c r="K22" s="545">
        <f>IF(H22+I22&lt;&gt;0,IF(H22&lt;&gt;0,IF(J22&lt;&gt;0,ROUND((+J22/H22),4),""),1),"")</f>
        <v>0.02</v>
      </c>
      <c r="L22" s="538" t="s">
        <v>1586</v>
      </c>
      <c r="M22" s="539"/>
      <c r="N22" s="25"/>
      <c r="O22" s="29"/>
      <c r="P22" s="29"/>
      <c r="Q22" s="29"/>
    </row>
    <row r="23" spans="1:17" x14ac:dyDescent="0.2">
      <c r="A23" s="551">
        <v>5774</v>
      </c>
      <c r="B23" s="540" t="s">
        <v>216</v>
      </c>
      <c r="C23" s="544">
        <v>4102.79</v>
      </c>
      <c r="D23" s="544">
        <v>4039.92</v>
      </c>
      <c r="E23" s="544">
        <v>2826</v>
      </c>
      <c r="H23" s="543">
        <f t="shared" ref="H23:H24" si="4">+J10</f>
        <v>1600</v>
      </c>
      <c r="I23" s="569">
        <f>+L10</f>
        <v>1600</v>
      </c>
      <c r="J23" s="572">
        <f>+I23-H23</f>
        <v>0</v>
      </c>
      <c r="K23" s="545" t="str">
        <f>IF(H23+I23&lt;&gt;0,IF(H23&lt;&gt;0,IF(J23&lt;&gt;0,ROUND((+J23/H23),4),""),1),"")</f>
        <v/>
      </c>
      <c r="L23" s="538"/>
      <c r="M23" s="539"/>
      <c r="N23" s="25"/>
      <c r="O23" s="29"/>
      <c r="P23" s="29"/>
      <c r="Q23" s="29"/>
    </row>
    <row r="24" spans="1:17" ht="13.5" thickBot="1" x14ac:dyDescent="0.25">
      <c r="A24" s="551">
        <v>5776</v>
      </c>
      <c r="B24" s="540" t="s">
        <v>217</v>
      </c>
      <c r="C24" s="542"/>
      <c r="D24" s="542">
        <v>4000</v>
      </c>
      <c r="E24" s="542">
        <v>4000</v>
      </c>
      <c r="H24" s="543">
        <f t="shared" si="4"/>
        <v>5000</v>
      </c>
      <c r="I24" s="569">
        <f>+L11</f>
        <v>5000</v>
      </c>
      <c r="J24" s="572">
        <f>+I24-H24</f>
        <v>0</v>
      </c>
      <c r="K24" s="545" t="str">
        <f>IF(H24+I24&lt;&gt;0,IF(H24&lt;&gt;0,IF(J24&lt;&gt;0,ROUND((+J24/H24),4),""),1),"")</f>
        <v/>
      </c>
      <c r="L24" s="538"/>
      <c r="M24" s="539"/>
      <c r="N24" s="25"/>
      <c r="O24" s="29"/>
      <c r="P24" s="29"/>
      <c r="Q24" s="29"/>
    </row>
    <row r="25" spans="1:17" x14ac:dyDescent="0.2">
      <c r="A25" s="4"/>
      <c r="B25" s="4"/>
      <c r="C25" s="25"/>
      <c r="D25" s="25"/>
      <c r="E25" s="25"/>
      <c r="F25" s="25"/>
      <c r="G25" s="25"/>
      <c r="H25" s="25"/>
      <c r="I25" s="25"/>
      <c r="J25" s="25"/>
      <c r="K25" s="29"/>
      <c r="L25" s="25"/>
      <c r="M25" s="25"/>
      <c r="N25" s="25"/>
      <c r="O25" s="29"/>
      <c r="P25" s="29"/>
      <c r="Q25" s="29"/>
    </row>
    <row r="26" spans="1:17" x14ac:dyDescent="0.2">
      <c r="A26" s="72">
        <v>43754</v>
      </c>
      <c r="B26" s="4" t="s">
        <v>1600</v>
      </c>
      <c r="C26" s="25"/>
      <c r="D26" s="25"/>
      <c r="E26" s="25"/>
      <c r="F26" s="25"/>
      <c r="G26" s="25"/>
      <c r="H26" s="849">
        <f>SUM(H22:H25)</f>
        <v>96600</v>
      </c>
      <c r="I26" s="849">
        <f>SUM(I22:I25)</f>
        <v>98400</v>
      </c>
      <c r="J26" s="208">
        <f t="shared" ref="J26" si="5">+I26-H26</f>
        <v>1800</v>
      </c>
      <c r="K26" s="850">
        <f t="shared" ref="K26" si="6">IF(H26+I26&lt;&gt;0,IF(H26&lt;&gt;0,IF(J26&lt;&gt;0,ROUND((+J26/H26),4),""),1),"")</f>
        <v>1.8599999999999998E-2</v>
      </c>
      <c r="L26" s="25"/>
      <c r="M26" s="25"/>
      <c r="N26" s="25"/>
      <c r="O26" s="29"/>
      <c r="P26" s="29"/>
      <c r="Q26" s="29"/>
    </row>
    <row r="27" spans="1:17" x14ac:dyDescent="0.2">
      <c r="A27" s="72"/>
      <c r="B27" s="4"/>
      <c r="C27" s="25"/>
      <c r="D27" s="25"/>
      <c r="E27" s="25"/>
      <c r="F27" s="25"/>
      <c r="G27" s="25"/>
      <c r="H27" s="25"/>
      <c r="I27" s="25"/>
      <c r="J27" s="25"/>
      <c r="K27" s="29"/>
      <c r="L27" s="25"/>
      <c r="M27" s="25"/>
      <c r="N27" s="25"/>
      <c r="O27" s="29"/>
      <c r="P27" s="29"/>
      <c r="Q27" s="29"/>
    </row>
    <row r="28" spans="1:17" x14ac:dyDescent="0.2">
      <c r="A28" s="4"/>
      <c r="B28" s="4"/>
      <c r="C28" s="25"/>
      <c r="D28" s="25"/>
      <c r="E28" s="25"/>
      <c r="F28" s="25"/>
      <c r="G28" s="25"/>
      <c r="H28" s="25"/>
      <c r="I28" s="25"/>
      <c r="J28" s="25"/>
      <c r="K28" s="29"/>
      <c r="L28" s="25"/>
      <c r="M28" s="25"/>
      <c r="N28" s="25"/>
      <c r="O28" s="29"/>
      <c r="P28" s="29"/>
      <c r="Q28" s="29"/>
    </row>
    <row r="29" spans="1:17" x14ac:dyDescent="0.2">
      <c r="A29" s="4"/>
      <c r="B29" s="4"/>
      <c r="C29" s="25"/>
      <c r="D29" s="25"/>
      <c r="E29" s="25"/>
      <c r="F29" s="25"/>
      <c r="G29" s="25"/>
      <c r="H29" s="25"/>
      <c r="I29" s="25"/>
      <c r="J29" s="25"/>
      <c r="K29" s="29"/>
      <c r="L29" s="25"/>
      <c r="M29" s="25"/>
      <c r="N29" s="25"/>
      <c r="O29" s="29"/>
      <c r="P29" s="29"/>
      <c r="Q29" s="29"/>
    </row>
    <row r="30" spans="1:17" x14ac:dyDescent="0.2">
      <c r="A30" s="4"/>
      <c r="B30" s="4"/>
      <c r="C30" s="25"/>
      <c r="D30" s="25"/>
      <c r="E30" s="25"/>
      <c r="F30" s="25"/>
      <c r="G30" s="25"/>
      <c r="H30" s="25"/>
      <c r="I30" s="25"/>
      <c r="J30" s="25"/>
      <c r="K30" s="29"/>
      <c r="L30" s="25"/>
      <c r="M30" s="25"/>
      <c r="N30" s="25"/>
      <c r="O30" s="29"/>
      <c r="P30" s="29"/>
      <c r="Q30" s="29"/>
    </row>
    <row r="31" spans="1:17" x14ac:dyDescent="0.2">
      <c r="A31" s="4"/>
      <c r="B31" s="4"/>
      <c r="C31" s="25"/>
      <c r="D31" s="25"/>
      <c r="E31" s="25"/>
      <c r="F31" s="25"/>
      <c r="G31" s="25"/>
      <c r="H31" s="25"/>
      <c r="I31" s="25"/>
      <c r="J31" s="25"/>
      <c r="K31" s="29"/>
      <c r="L31" s="25"/>
      <c r="M31" s="25"/>
      <c r="N31" s="25"/>
      <c r="O31" s="29"/>
      <c r="P31" s="29"/>
      <c r="Q31" s="29"/>
    </row>
    <row r="32" spans="1:17" x14ac:dyDescent="0.2">
      <c r="A32" s="4"/>
      <c r="B32" s="4"/>
      <c r="C32" s="25"/>
      <c r="D32" s="25"/>
      <c r="E32" s="25"/>
      <c r="F32" s="25"/>
      <c r="G32" s="25"/>
      <c r="H32" s="25"/>
      <c r="I32" s="25"/>
      <c r="J32" s="25"/>
      <c r="K32" s="29"/>
      <c r="L32" s="25"/>
      <c r="M32" s="25"/>
      <c r="N32" s="25"/>
      <c r="O32" s="29"/>
      <c r="P32" s="29"/>
      <c r="Q32" s="29"/>
    </row>
    <row r="33" spans="1:17" x14ac:dyDescent="0.2">
      <c r="A33" s="4"/>
      <c r="B33" s="4"/>
      <c r="C33" s="25"/>
      <c r="D33" s="25"/>
      <c r="E33" s="25"/>
      <c r="F33" s="25"/>
      <c r="G33" s="25"/>
      <c r="H33" s="25"/>
      <c r="I33" s="25"/>
      <c r="J33" s="25"/>
      <c r="K33" s="29"/>
      <c r="L33" s="25"/>
      <c r="M33" s="25"/>
      <c r="N33" s="25"/>
      <c r="O33" s="29"/>
      <c r="P33" s="29"/>
      <c r="Q33" s="29"/>
    </row>
    <row r="34" spans="1:17" x14ac:dyDescent="0.2">
      <c r="A34" s="4"/>
      <c r="B34" s="4"/>
      <c r="C34" s="25"/>
      <c r="D34" s="25"/>
      <c r="E34" s="25"/>
      <c r="F34" s="25"/>
      <c r="G34" s="25"/>
      <c r="H34" s="25"/>
      <c r="I34" s="25"/>
      <c r="J34" s="25"/>
      <c r="K34" s="29"/>
      <c r="L34" s="25"/>
      <c r="M34" s="25"/>
      <c r="N34" s="25"/>
      <c r="O34" s="29"/>
      <c r="P34" s="29"/>
      <c r="Q34" s="29"/>
    </row>
    <row r="35" spans="1:17" x14ac:dyDescent="0.2">
      <c r="A35" s="4"/>
      <c r="B35" s="4"/>
      <c r="C35" s="25"/>
      <c r="D35" s="25"/>
      <c r="E35" s="25"/>
      <c r="F35" s="25"/>
      <c r="G35" s="25"/>
      <c r="H35" s="25"/>
      <c r="I35" s="25"/>
      <c r="J35" s="25"/>
      <c r="K35" s="29"/>
      <c r="L35" s="25"/>
      <c r="M35" s="25"/>
      <c r="N35" s="25"/>
      <c r="O35" s="29"/>
      <c r="P35" s="29"/>
      <c r="Q35" s="29"/>
    </row>
    <row r="36" spans="1:17" x14ac:dyDescent="0.2">
      <c r="A36" s="4"/>
      <c r="B36" s="4"/>
      <c r="C36" s="25"/>
      <c r="D36" s="25"/>
      <c r="E36" s="25"/>
      <c r="F36" s="25"/>
      <c r="G36" s="25"/>
      <c r="H36" s="25"/>
      <c r="I36" s="25"/>
      <c r="J36" s="25"/>
      <c r="K36" s="29"/>
      <c r="L36" s="25"/>
      <c r="M36" s="25"/>
      <c r="N36" s="25"/>
      <c r="O36" s="29"/>
      <c r="P36" s="29"/>
      <c r="Q36" s="29"/>
    </row>
    <row r="37" spans="1:17" x14ac:dyDescent="0.2">
      <c r="A37" s="4"/>
      <c r="B37" s="4"/>
      <c r="C37" s="25"/>
      <c r="D37" s="25"/>
      <c r="E37" s="25"/>
      <c r="F37" s="25"/>
      <c r="G37" s="25"/>
      <c r="H37" s="25"/>
      <c r="I37" s="25"/>
      <c r="J37" s="25"/>
      <c r="K37" s="29"/>
      <c r="L37" s="25"/>
      <c r="M37" s="25"/>
      <c r="N37" s="25"/>
      <c r="O37" s="29"/>
      <c r="P37" s="29"/>
      <c r="Q37" s="29"/>
    </row>
    <row r="38" spans="1:17" x14ac:dyDescent="0.2">
      <c r="A38" s="4"/>
      <c r="B38" s="4"/>
      <c r="C38" s="25"/>
      <c r="D38" s="25"/>
      <c r="E38" s="25"/>
      <c r="F38" s="25"/>
      <c r="G38" s="25"/>
      <c r="H38" s="25"/>
      <c r="I38" s="25"/>
      <c r="J38" s="25"/>
      <c r="K38" s="29"/>
      <c r="L38" s="25"/>
      <c r="M38" s="25"/>
      <c r="N38" s="25"/>
      <c r="O38" s="29"/>
      <c r="P38" s="29"/>
      <c r="Q38" s="29"/>
    </row>
    <row r="39" spans="1:17" x14ac:dyDescent="0.2">
      <c r="A39" s="4"/>
      <c r="B39" s="4"/>
      <c r="C39" s="25"/>
      <c r="D39" s="25"/>
      <c r="E39" s="25"/>
      <c r="F39" s="25"/>
      <c r="G39" s="25"/>
      <c r="H39" s="25"/>
      <c r="I39" s="25"/>
      <c r="J39" s="25"/>
      <c r="K39" s="29"/>
      <c r="L39" s="25"/>
      <c r="M39" s="25"/>
      <c r="N39" s="25"/>
      <c r="O39" s="29"/>
      <c r="P39" s="29"/>
      <c r="Q39" s="29"/>
    </row>
    <row r="40" spans="1:17" x14ac:dyDescent="0.2">
      <c r="A40" s="4"/>
      <c r="B40" s="4"/>
      <c r="C40" s="25"/>
      <c r="D40" s="25"/>
      <c r="E40" s="25"/>
      <c r="F40" s="25"/>
      <c r="G40" s="25"/>
      <c r="H40" s="25"/>
      <c r="I40" s="25"/>
      <c r="J40" s="25"/>
      <c r="K40" s="29"/>
      <c r="L40" s="25"/>
      <c r="M40" s="25"/>
      <c r="N40" s="25"/>
      <c r="O40" s="29"/>
      <c r="P40" s="29"/>
      <c r="Q40" s="29"/>
    </row>
    <row r="41" spans="1:17" x14ac:dyDescent="0.2">
      <c r="A41" s="4"/>
      <c r="B41" s="4"/>
      <c r="C41" s="25"/>
      <c r="D41" s="25"/>
      <c r="E41" s="25"/>
      <c r="F41" s="25"/>
      <c r="G41" s="25"/>
      <c r="H41" s="25"/>
      <c r="I41" s="25"/>
      <c r="J41" s="25"/>
      <c r="K41" s="29"/>
      <c r="L41" s="25"/>
      <c r="M41" s="25"/>
      <c r="N41" s="25"/>
      <c r="O41" s="29"/>
      <c r="P41" s="29"/>
      <c r="Q41" s="29"/>
    </row>
    <row r="42" spans="1:17" x14ac:dyDescent="0.2">
      <c r="A42" s="4"/>
      <c r="B42" s="4"/>
      <c r="C42" s="25"/>
      <c r="D42" s="25"/>
      <c r="E42" s="25"/>
      <c r="F42" s="25"/>
      <c r="G42" s="25"/>
      <c r="H42" s="25"/>
      <c r="I42" s="25"/>
      <c r="J42" s="25"/>
      <c r="K42" s="29"/>
      <c r="L42" s="25"/>
      <c r="M42" s="25"/>
      <c r="N42" s="25"/>
      <c r="O42" s="29"/>
      <c r="P42" s="29"/>
      <c r="Q42" s="29"/>
    </row>
    <row r="43" spans="1:17" x14ac:dyDescent="0.2">
      <c r="A43" s="4"/>
      <c r="B43" s="4"/>
      <c r="C43" s="25"/>
      <c r="D43" s="25"/>
      <c r="E43" s="25"/>
      <c r="F43" s="25"/>
      <c r="G43" s="25"/>
      <c r="H43" s="25"/>
      <c r="I43" s="25"/>
      <c r="J43" s="25"/>
      <c r="K43" s="29"/>
      <c r="L43" s="25"/>
      <c r="M43" s="25"/>
      <c r="N43" s="25"/>
      <c r="O43" s="29"/>
      <c r="P43" s="29"/>
      <c r="Q43" s="29"/>
    </row>
    <row r="44" spans="1:17" x14ac:dyDescent="0.2">
      <c r="A44" s="4"/>
      <c r="B44" s="4"/>
      <c r="C44" s="25"/>
      <c r="D44" s="25"/>
      <c r="E44" s="25"/>
      <c r="F44" s="25"/>
      <c r="G44" s="25"/>
      <c r="H44" s="25"/>
      <c r="I44" s="25"/>
      <c r="J44" s="25"/>
      <c r="K44" s="29"/>
      <c r="L44" s="25"/>
      <c r="M44" s="25"/>
      <c r="N44" s="25"/>
      <c r="O44" s="29"/>
      <c r="P44" s="29"/>
      <c r="Q44" s="29"/>
    </row>
    <row r="45" spans="1:17" x14ac:dyDescent="0.2">
      <c r="A45" s="4"/>
      <c r="B45" s="4"/>
      <c r="C45" s="25"/>
      <c r="D45" s="25"/>
      <c r="E45" s="25"/>
      <c r="F45" s="25"/>
      <c r="G45" s="25"/>
      <c r="H45" s="25"/>
      <c r="I45" s="25"/>
      <c r="J45" s="25"/>
      <c r="K45" s="29"/>
      <c r="L45" s="25"/>
      <c r="M45" s="25"/>
      <c r="N45" s="25"/>
      <c r="O45" s="29"/>
      <c r="P45" s="29"/>
      <c r="Q45" s="29"/>
    </row>
    <row r="46" spans="1:17" x14ac:dyDescent="0.2">
      <c r="A46" s="4"/>
      <c r="B46" s="4"/>
      <c r="C46" s="25"/>
      <c r="D46" s="25"/>
      <c r="E46" s="25"/>
      <c r="F46" s="25"/>
      <c r="G46" s="25"/>
      <c r="H46" s="25"/>
      <c r="I46" s="25"/>
      <c r="J46" s="25"/>
      <c r="K46" s="29"/>
      <c r="L46" s="25"/>
      <c r="M46" s="25"/>
      <c r="N46" s="25"/>
      <c r="O46" s="29"/>
      <c r="P46" s="29"/>
      <c r="Q46" s="29"/>
    </row>
    <row r="47" spans="1:17" x14ac:dyDescent="0.2">
      <c r="A47" s="4"/>
      <c r="B47" s="4"/>
      <c r="C47" s="25"/>
      <c r="D47" s="25"/>
      <c r="E47" s="25"/>
      <c r="F47" s="25"/>
      <c r="G47" s="25"/>
      <c r="H47" s="25"/>
      <c r="I47" s="25"/>
      <c r="J47" s="25"/>
      <c r="K47" s="29"/>
      <c r="L47" s="25"/>
      <c r="M47" s="25"/>
      <c r="N47" s="25"/>
      <c r="O47" s="29"/>
      <c r="P47" s="29"/>
      <c r="Q47" s="29"/>
    </row>
    <row r="48" spans="1:17" x14ac:dyDescent="0.2">
      <c r="A48" s="4"/>
      <c r="B48" s="4"/>
      <c r="C48" s="25"/>
      <c r="D48" s="25"/>
      <c r="E48" s="25"/>
      <c r="F48" s="25"/>
      <c r="G48" s="25"/>
      <c r="H48" s="25"/>
      <c r="I48" s="25"/>
      <c r="J48" s="25"/>
      <c r="K48" s="29"/>
      <c r="L48" s="25"/>
      <c r="M48" s="25"/>
      <c r="N48" s="25"/>
      <c r="O48" s="29"/>
      <c r="P48" s="29"/>
      <c r="Q48" s="29"/>
    </row>
    <row r="49" spans="1:17" x14ac:dyDescent="0.2">
      <c r="A49" s="4"/>
      <c r="B49" s="4"/>
      <c r="C49" s="25"/>
      <c r="D49" s="25"/>
      <c r="E49" s="25"/>
      <c r="F49" s="25"/>
      <c r="G49" s="25"/>
      <c r="H49" s="25"/>
      <c r="I49" s="25"/>
      <c r="J49" s="25"/>
      <c r="K49" s="29"/>
      <c r="L49" s="25"/>
      <c r="M49" s="25"/>
      <c r="N49" s="25"/>
      <c r="O49" s="29"/>
      <c r="P49" s="29"/>
      <c r="Q49" s="29"/>
    </row>
    <row r="50" spans="1:17" x14ac:dyDescent="0.2">
      <c r="A50" s="4"/>
      <c r="B50" s="4"/>
      <c r="C50" s="25"/>
      <c r="D50" s="25"/>
      <c r="E50" s="25"/>
      <c r="F50" s="25"/>
      <c r="G50" s="25"/>
      <c r="H50" s="25"/>
      <c r="I50" s="25"/>
      <c r="J50" s="25"/>
      <c r="K50" s="29"/>
      <c r="L50" s="25"/>
      <c r="M50" s="25"/>
      <c r="N50" s="25"/>
      <c r="O50" s="29"/>
      <c r="P50" s="29"/>
      <c r="Q50" s="29"/>
    </row>
    <row r="51" spans="1:17" x14ac:dyDescent="0.2">
      <c r="A51" s="4"/>
      <c r="B51" s="4"/>
      <c r="C51" s="25"/>
      <c r="D51" s="25"/>
      <c r="E51" s="25"/>
      <c r="F51" s="25"/>
      <c r="G51" s="25"/>
      <c r="H51" s="25"/>
      <c r="I51" s="25"/>
      <c r="J51" s="25"/>
      <c r="K51" s="29"/>
      <c r="L51" s="25"/>
      <c r="M51" s="25"/>
      <c r="N51" s="25"/>
      <c r="O51" s="29"/>
      <c r="P51" s="29"/>
      <c r="Q51" s="29"/>
    </row>
    <row r="52" spans="1:17" x14ac:dyDescent="0.2">
      <c r="A52" s="4"/>
      <c r="B52" s="4"/>
      <c r="C52" s="25"/>
      <c r="D52" s="25"/>
      <c r="E52" s="25"/>
      <c r="F52" s="25"/>
      <c r="G52" s="25"/>
      <c r="H52" s="25"/>
      <c r="I52" s="25"/>
      <c r="J52" s="25"/>
      <c r="K52" s="29"/>
      <c r="L52" s="25"/>
      <c r="M52" s="25"/>
      <c r="N52" s="25"/>
      <c r="O52" s="29"/>
      <c r="P52" s="29"/>
      <c r="Q52" s="29"/>
    </row>
    <row r="53" spans="1:17" x14ac:dyDescent="0.2">
      <c r="A53" s="4"/>
      <c r="B53" s="4"/>
      <c r="C53" s="25"/>
      <c r="D53" s="25"/>
      <c r="E53" s="25"/>
      <c r="F53" s="25"/>
      <c r="G53" s="25"/>
      <c r="H53" s="25"/>
      <c r="I53" s="25"/>
      <c r="J53" s="25"/>
      <c r="K53" s="29"/>
      <c r="L53" s="25"/>
      <c r="M53" s="25"/>
      <c r="N53" s="25"/>
      <c r="O53" s="29"/>
      <c r="P53" s="29"/>
      <c r="Q53" s="29"/>
    </row>
    <row r="54" spans="1:17" x14ac:dyDescent="0.2">
      <c r="A54" s="4"/>
      <c r="B54" s="4"/>
      <c r="C54" s="25"/>
      <c r="D54" s="25"/>
      <c r="E54" s="25"/>
      <c r="F54" s="25"/>
      <c r="G54" s="25"/>
      <c r="H54" s="25"/>
      <c r="I54" s="25"/>
      <c r="J54" s="25"/>
      <c r="K54" s="29"/>
      <c r="L54" s="25"/>
      <c r="M54" s="25"/>
      <c r="N54" s="25"/>
      <c r="O54" s="29"/>
      <c r="P54" s="29"/>
      <c r="Q54" s="29"/>
    </row>
    <row r="55" spans="1:17" x14ac:dyDescent="0.2">
      <c r="A55" s="4"/>
      <c r="B55" s="4"/>
      <c r="C55" s="25"/>
      <c r="D55" s="25"/>
      <c r="E55" s="25"/>
      <c r="F55" s="25"/>
      <c r="G55" s="25"/>
      <c r="H55" s="25"/>
      <c r="I55" s="25"/>
      <c r="J55" s="25"/>
      <c r="K55" s="29"/>
      <c r="L55" s="25"/>
      <c r="M55" s="25"/>
      <c r="N55" s="25"/>
      <c r="O55" s="29"/>
      <c r="P55" s="29"/>
      <c r="Q55" s="29"/>
    </row>
    <row r="56" spans="1:17" x14ac:dyDescent="0.2">
      <c r="A56" s="4"/>
      <c r="B56" s="4"/>
      <c r="C56" s="25"/>
      <c r="D56" s="25"/>
      <c r="E56" s="25"/>
      <c r="F56" s="25"/>
      <c r="G56" s="25"/>
      <c r="H56" s="25"/>
      <c r="I56" s="25"/>
      <c r="J56" s="25"/>
      <c r="K56" s="29"/>
      <c r="L56" s="25"/>
      <c r="M56" s="25"/>
      <c r="N56" s="25"/>
      <c r="O56" s="29"/>
      <c r="P56" s="29"/>
      <c r="Q56" s="29"/>
    </row>
    <row r="57" spans="1:17" x14ac:dyDescent="0.2">
      <c r="A57" s="4"/>
      <c r="B57" s="4"/>
      <c r="C57" s="25"/>
      <c r="D57" s="25"/>
      <c r="E57" s="25"/>
      <c r="F57" s="25"/>
      <c r="G57" s="25"/>
      <c r="H57" s="25"/>
      <c r="I57" s="25"/>
      <c r="J57" s="25"/>
      <c r="K57" s="29"/>
      <c r="L57" s="25"/>
      <c r="M57" s="25"/>
      <c r="N57" s="25"/>
      <c r="O57" s="29"/>
      <c r="P57" s="29"/>
      <c r="Q57" s="29"/>
    </row>
    <row r="58" spans="1:17" x14ac:dyDescent="0.2">
      <c r="A58" s="4"/>
      <c r="B58" s="4"/>
      <c r="C58" s="25"/>
      <c r="D58" s="25"/>
      <c r="E58" s="25"/>
      <c r="F58" s="25"/>
      <c r="G58" s="25"/>
      <c r="H58" s="25"/>
      <c r="I58" s="25"/>
      <c r="J58" s="25"/>
      <c r="K58" s="29"/>
      <c r="L58" s="25"/>
      <c r="M58" s="25"/>
      <c r="N58" s="25"/>
      <c r="O58" s="29"/>
      <c r="P58" s="29"/>
      <c r="Q58" s="29"/>
    </row>
    <row r="59" spans="1:17" x14ac:dyDescent="0.2">
      <c r="A59" s="4"/>
      <c r="B59" s="4"/>
      <c r="C59" s="25"/>
      <c r="D59" s="25"/>
      <c r="E59" s="25"/>
      <c r="F59" s="25"/>
      <c r="G59" s="25"/>
      <c r="H59" s="25"/>
      <c r="I59" s="25"/>
      <c r="J59" s="25"/>
      <c r="K59" s="29"/>
      <c r="L59" s="25"/>
      <c r="M59" s="25"/>
      <c r="N59" s="25"/>
      <c r="O59" s="29"/>
      <c r="P59" s="29"/>
      <c r="Q59" s="29"/>
    </row>
    <row r="60" spans="1:17" x14ac:dyDescent="0.2">
      <c r="A60" s="4"/>
      <c r="B60" s="4"/>
      <c r="C60" s="25"/>
      <c r="D60" s="25"/>
      <c r="E60" s="25"/>
      <c r="F60" s="25"/>
      <c r="G60" s="25"/>
      <c r="H60" s="25"/>
      <c r="I60" s="25"/>
      <c r="J60" s="25"/>
      <c r="K60" s="29"/>
      <c r="L60" s="25"/>
      <c r="M60" s="25"/>
      <c r="N60" s="25"/>
      <c r="O60" s="29"/>
      <c r="P60" s="29"/>
      <c r="Q60" s="29"/>
    </row>
    <row r="61" spans="1:17" x14ac:dyDescent="0.2">
      <c r="A61" s="4"/>
      <c r="B61" s="4"/>
      <c r="C61" s="25"/>
      <c r="D61" s="25"/>
      <c r="E61" s="25"/>
      <c r="F61" s="25"/>
      <c r="G61" s="25"/>
      <c r="H61" s="25"/>
      <c r="I61" s="25"/>
      <c r="J61" s="25"/>
      <c r="K61" s="29"/>
      <c r="L61" s="25"/>
      <c r="M61" s="25"/>
      <c r="N61" s="25"/>
      <c r="O61" s="29"/>
      <c r="P61" s="29"/>
      <c r="Q61" s="29"/>
    </row>
    <row r="62" spans="1:17" x14ac:dyDescent="0.2">
      <c r="A62" s="4"/>
      <c r="B62" s="4"/>
      <c r="C62" s="25"/>
      <c r="D62" s="25"/>
      <c r="E62" s="25"/>
      <c r="F62" s="25"/>
      <c r="G62" s="25"/>
      <c r="H62" s="25"/>
      <c r="I62" s="25"/>
      <c r="J62" s="25"/>
      <c r="K62" s="29"/>
      <c r="L62" s="25"/>
      <c r="M62" s="25"/>
      <c r="N62" s="25"/>
      <c r="O62" s="29"/>
      <c r="P62" s="29"/>
      <c r="Q62" s="29"/>
    </row>
    <row r="63" spans="1:17" x14ac:dyDescent="0.2">
      <c r="A63" s="4"/>
      <c r="B63" s="4"/>
      <c r="C63" s="25"/>
      <c r="D63" s="25"/>
      <c r="E63" s="25"/>
      <c r="F63" s="25"/>
      <c r="G63" s="25"/>
      <c r="H63" s="25"/>
      <c r="I63" s="25"/>
      <c r="J63" s="25"/>
      <c r="K63" s="29"/>
      <c r="L63" s="25"/>
      <c r="M63" s="25"/>
      <c r="N63" s="25"/>
      <c r="O63" s="29"/>
      <c r="P63" s="29"/>
      <c r="Q63" s="29"/>
    </row>
    <row r="64" spans="1:17" x14ac:dyDescent="0.2">
      <c r="A64" s="4"/>
      <c r="B64" s="4"/>
      <c r="C64" s="25"/>
      <c r="D64" s="25"/>
      <c r="E64" s="25"/>
      <c r="F64" s="25"/>
      <c r="G64" s="25"/>
      <c r="H64" s="25"/>
      <c r="I64" s="25"/>
      <c r="J64" s="25"/>
      <c r="K64" s="4"/>
      <c r="L64" s="25"/>
      <c r="M64" s="25"/>
      <c r="N64" s="25"/>
      <c r="O64" s="4"/>
      <c r="P64" s="4"/>
      <c r="Q64" s="4"/>
    </row>
    <row r="65" spans="1:17" x14ac:dyDescent="0.2">
      <c r="A65" s="4"/>
      <c r="B65" s="4"/>
      <c r="C65" s="25"/>
      <c r="D65" s="25"/>
      <c r="E65" s="25"/>
      <c r="F65" s="25"/>
      <c r="G65" s="25"/>
      <c r="H65" s="25"/>
      <c r="I65" s="25"/>
      <c r="J65" s="25"/>
      <c r="K65" s="4"/>
      <c r="L65" s="25"/>
      <c r="M65" s="25"/>
      <c r="N65" s="25"/>
      <c r="O65" s="4"/>
      <c r="P65" s="4"/>
      <c r="Q65" s="4"/>
    </row>
    <row r="66" spans="1:17" x14ac:dyDescent="0.2">
      <c r="A66" s="4"/>
      <c r="B66" s="4"/>
      <c r="C66" s="25"/>
      <c r="D66" s="25"/>
      <c r="E66" s="25"/>
      <c r="F66" s="25"/>
      <c r="G66" s="25"/>
      <c r="H66" s="25"/>
      <c r="I66" s="25"/>
      <c r="J66" s="25"/>
      <c r="K66" s="4"/>
      <c r="L66" s="25"/>
      <c r="M66" s="25"/>
      <c r="N66" s="25"/>
      <c r="O66" s="4"/>
      <c r="P66" s="4"/>
      <c r="Q66" s="4"/>
    </row>
    <row r="67" spans="1:17" x14ac:dyDescent="0.2">
      <c r="A67" s="4"/>
      <c r="B67" s="4"/>
      <c r="C67" s="25"/>
      <c r="D67" s="25"/>
      <c r="E67" s="25"/>
      <c r="F67" s="25"/>
      <c r="G67" s="25"/>
      <c r="H67" s="25"/>
      <c r="I67" s="25"/>
      <c r="J67" s="25"/>
      <c r="K67" s="4"/>
      <c r="L67" s="25"/>
      <c r="M67" s="25"/>
      <c r="N67" s="25"/>
      <c r="O67" s="4"/>
      <c r="P67" s="4"/>
      <c r="Q67" s="4"/>
    </row>
    <row r="68" spans="1:17" x14ac:dyDescent="0.2">
      <c r="A68" s="4"/>
      <c r="B68" s="4"/>
      <c r="C68" s="25"/>
      <c r="D68" s="25"/>
      <c r="E68" s="25"/>
      <c r="F68" s="25"/>
      <c r="G68" s="25"/>
      <c r="H68" s="25"/>
      <c r="I68" s="25"/>
      <c r="J68" s="25"/>
      <c r="K68" s="4"/>
      <c r="L68" s="25"/>
      <c r="M68" s="25"/>
      <c r="N68" s="25"/>
      <c r="O68" s="4"/>
      <c r="P68" s="4"/>
      <c r="Q68" s="4"/>
    </row>
    <row r="69" spans="1:17" x14ac:dyDescent="0.2">
      <c r="A69" s="4"/>
      <c r="B69" s="4"/>
      <c r="C69" s="25"/>
      <c r="D69" s="25"/>
      <c r="E69" s="25"/>
      <c r="F69" s="25"/>
      <c r="G69" s="25"/>
      <c r="H69" s="25"/>
      <c r="I69" s="25"/>
      <c r="J69" s="25"/>
      <c r="K69" s="4"/>
      <c r="L69" s="25"/>
      <c r="M69" s="25"/>
      <c r="N69" s="25"/>
      <c r="O69" s="4"/>
      <c r="P69" s="4"/>
      <c r="Q69" s="4"/>
    </row>
    <row r="70" spans="1:17" x14ac:dyDescent="0.2">
      <c r="A70" s="4"/>
      <c r="B70" s="4"/>
      <c r="C70" s="25"/>
      <c r="D70" s="25"/>
      <c r="E70" s="25"/>
      <c r="F70" s="25"/>
      <c r="G70" s="25"/>
      <c r="H70" s="25"/>
      <c r="I70" s="25"/>
      <c r="J70" s="25"/>
      <c r="K70" s="4"/>
      <c r="L70" s="25"/>
      <c r="M70" s="25"/>
      <c r="N70" s="25"/>
      <c r="O70" s="4"/>
      <c r="P70" s="4"/>
      <c r="Q70" s="4"/>
    </row>
    <row r="71" spans="1:17" x14ac:dyDescent="0.2">
      <c r="A71" s="4"/>
      <c r="B71" s="4"/>
      <c r="C71" s="25"/>
      <c r="D71" s="25"/>
      <c r="E71" s="25"/>
      <c r="F71" s="25"/>
      <c r="G71" s="25"/>
      <c r="H71" s="25"/>
      <c r="I71" s="25"/>
      <c r="J71" s="25"/>
      <c r="K71" s="4"/>
      <c r="L71" s="25"/>
      <c r="M71" s="25"/>
      <c r="N71" s="25"/>
      <c r="O71" s="4"/>
      <c r="P71" s="4"/>
      <c r="Q71" s="4"/>
    </row>
    <row r="72" spans="1:17" x14ac:dyDescent="0.2">
      <c r="A72" s="4"/>
      <c r="B72" s="4"/>
      <c r="C72" s="25"/>
      <c r="D72" s="25"/>
      <c r="E72" s="25"/>
      <c r="F72" s="25"/>
      <c r="G72" s="25"/>
      <c r="H72" s="25"/>
      <c r="I72" s="25"/>
      <c r="J72" s="25"/>
      <c r="K72" s="4"/>
      <c r="L72" s="25"/>
      <c r="M72" s="25"/>
      <c r="N72" s="25"/>
      <c r="O72" s="4"/>
      <c r="P72" s="4"/>
      <c r="Q72" s="4"/>
    </row>
    <row r="73" spans="1:17" x14ac:dyDescent="0.2">
      <c r="A73" s="4"/>
      <c r="B73" s="4"/>
      <c r="C73" s="25"/>
      <c r="D73" s="25"/>
      <c r="E73" s="25"/>
      <c r="F73" s="25"/>
      <c r="G73" s="25"/>
      <c r="H73" s="25"/>
      <c r="I73" s="25"/>
      <c r="J73" s="25"/>
      <c r="K73" s="4"/>
      <c r="L73" s="25"/>
      <c r="M73" s="25"/>
      <c r="N73" s="25"/>
      <c r="O73" s="4"/>
      <c r="P73" s="4"/>
      <c r="Q73" s="4"/>
    </row>
    <row r="74" spans="1:17" x14ac:dyDescent="0.2">
      <c r="A74" s="4"/>
      <c r="B74" s="4"/>
      <c r="C74" s="25"/>
      <c r="D74" s="25"/>
      <c r="E74" s="25"/>
      <c r="F74" s="25"/>
      <c r="G74" s="25"/>
      <c r="H74" s="25"/>
      <c r="I74" s="25"/>
      <c r="J74" s="25"/>
      <c r="K74" s="4"/>
      <c r="L74" s="25"/>
      <c r="M74" s="25"/>
      <c r="N74" s="25"/>
      <c r="O74" s="4"/>
      <c r="P74" s="4"/>
      <c r="Q74" s="4"/>
    </row>
    <row r="75" spans="1:17" x14ac:dyDescent="0.2">
      <c r="A75" s="4"/>
      <c r="B75" s="4"/>
      <c r="C75" s="25"/>
      <c r="D75" s="25"/>
      <c r="E75" s="25"/>
      <c r="F75" s="25"/>
      <c r="G75" s="25"/>
      <c r="H75" s="25"/>
      <c r="I75" s="25"/>
      <c r="J75" s="25"/>
      <c r="K75" s="4"/>
      <c r="L75" s="25"/>
      <c r="M75" s="25"/>
      <c r="N75" s="25"/>
      <c r="O75" s="4"/>
      <c r="P75" s="4"/>
      <c r="Q75" s="4"/>
    </row>
    <row r="76" spans="1:17" x14ac:dyDescent="0.2">
      <c r="A76" s="4"/>
      <c r="B76" s="4"/>
      <c r="C76" s="25"/>
      <c r="D76" s="25"/>
      <c r="E76" s="25"/>
      <c r="F76" s="25"/>
      <c r="G76" s="25"/>
      <c r="H76" s="25"/>
      <c r="I76" s="25"/>
      <c r="J76" s="25"/>
      <c r="K76" s="4"/>
      <c r="L76" s="25"/>
      <c r="M76" s="25"/>
      <c r="N76" s="25"/>
      <c r="O76" s="4"/>
      <c r="P76" s="4"/>
      <c r="Q76" s="4"/>
    </row>
    <row r="77" spans="1:17" x14ac:dyDescent="0.2">
      <c r="A77" s="4"/>
      <c r="B77" s="4"/>
      <c r="C77" s="25"/>
      <c r="D77" s="25"/>
      <c r="E77" s="25"/>
      <c r="F77" s="25"/>
      <c r="G77" s="25"/>
      <c r="H77" s="25"/>
      <c r="I77" s="25"/>
      <c r="J77" s="25"/>
      <c r="K77" s="4"/>
      <c r="L77" s="25"/>
      <c r="M77" s="25"/>
      <c r="N77" s="25"/>
      <c r="O77" s="4"/>
      <c r="P77" s="4"/>
      <c r="Q77" s="4"/>
    </row>
    <row r="78" spans="1:17" x14ac:dyDescent="0.2">
      <c r="A78" s="4"/>
      <c r="B78" s="4"/>
      <c r="C78" s="25"/>
      <c r="D78" s="25"/>
      <c r="E78" s="25"/>
      <c r="F78" s="25"/>
      <c r="G78" s="25"/>
      <c r="H78" s="25"/>
      <c r="I78" s="25"/>
      <c r="J78" s="25"/>
      <c r="K78" s="4"/>
      <c r="L78" s="25"/>
      <c r="M78" s="25"/>
      <c r="N78" s="25"/>
      <c r="O78" s="4"/>
      <c r="P78" s="4"/>
      <c r="Q78" s="4"/>
    </row>
    <row r="79" spans="1:17" x14ac:dyDescent="0.2">
      <c r="A79" s="4"/>
      <c r="B79" s="4"/>
      <c r="C79" s="25"/>
      <c r="D79" s="25"/>
      <c r="E79" s="25"/>
      <c r="F79" s="25"/>
      <c r="G79" s="25"/>
      <c r="H79" s="25"/>
      <c r="I79" s="25"/>
      <c r="J79" s="25"/>
      <c r="K79" s="4"/>
      <c r="L79" s="25"/>
      <c r="M79" s="25"/>
      <c r="N79" s="25"/>
      <c r="O79" s="4"/>
      <c r="P79" s="4"/>
      <c r="Q79" s="4"/>
    </row>
    <row r="80" spans="1:17" x14ac:dyDescent="0.2">
      <c r="A80" s="4"/>
      <c r="B80" s="4"/>
      <c r="C80" s="25"/>
      <c r="D80" s="25"/>
      <c r="E80" s="25"/>
      <c r="F80" s="25"/>
      <c r="G80" s="25"/>
      <c r="H80" s="25"/>
      <c r="I80" s="25"/>
      <c r="J80" s="25"/>
      <c r="K80" s="4"/>
      <c r="L80" s="25"/>
      <c r="M80" s="25"/>
      <c r="N80" s="25"/>
      <c r="O80" s="4"/>
      <c r="P80" s="4"/>
      <c r="Q80" s="4"/>
    </row>
    <row r="81" spans="1:17" x14ac:dyDescent="0.2">
      <c r="A81" s="4"/>
      <c r="B81" s="4"/>
      <c r="C81" s="25"/>
      <c r="D81" s="25"/>
      <c r="E81" s="25"/>
      <c r="F81" s="25"/>
      <c r="G81" s="25"/>
      <c r="H81" s="25"/>
      <c r="I81" s="25"/>
      <c r="J81" s="25"/>
      <c r="K81" s="4"/>
      <c r="L81" s="25"/>
      <c r="M81" s="25"/>
      <c r="N81" s="25"/>
      <c r="O81" s="4"/>
      <c r="P81" s="4"/>
      <c r="Q81" s="4"/>
    </row>
    <row r="82" spans="1:17" x14ac:dyDescent="0.2">
      <c r="A82" s="4"/>
      <c r="B82" s="4"/>
      <c r="C82" s="25"/>
      <c r="D82" s="25"/>
      <c r="E82" s="25"/>
      <c r="F82" s="25"/>
      <c r="G82" s="25"/>
      <c r="H82" s="25"/>
      <c r="I82" s="25"/>
      <c r="J82" s="25"/>
      <c r="K82" s="4"/>
      <c r="L82" s="25"/>
      <c r="M82" s="25"/>
      <c r="N82" s="25"/>
      <c r="O82" s="4"/>
      <c r="P82" s="4"/>
      <c r="Q82" s="4"/>
    </row>
    <row r="83" spans="1:17" x14ac:dyDescent="0.2">
      <c r="A83" s="4"/>
      <c r="B83" s="4"/>
      <c r="C83" s="25"/>
      <c r="D83" s="25"/>
      <c r="E83" s="25"/>
      <c r="F83" s="25"/>
      <c r="G83" s="25"/>
      <c r="H83" s="25"/>
      <c r="I83" s="25"/>
      <c r="J83" s="25"/>
      <c r="K83" s="4"/>
      <c r="L83" s="25"/>
      <c r="M83" s="25"/>
      <c r="N83" s="25"/>
      <c r="O83" s="4"/>
      <c r="P83" s="4"/>
      <c r="Q83" s="4"/>
    </row>
    <row r="84" spans="1:17" x14ac:dyDescent="0.2">
      <c r="A84" s="4"/>
      <c r="B84" s="4"/>
      <c r="C84" s="25"/>
      <c r="D84" s="25"/>
      <c r="E84" s="25"/>
      <c r="F84" s="25"/>
      <c r="G84" s="25"/>
      <c r="H84" s="25"/>
      <c r="I84" s="25"/>
      <c r="J84" s="25"/>
      <c r="K84" s="4"/>
      <c r="L84" s="25"/>
      <c r="M84" s="25"/>
      <c r="N84" s="25"/>
      <c r="O84" s="4"/>
      <c r="P84" s="4"/>
      <c r="Q84" s="4"/>
    </row>
    <row r="85" spans="1:17" x14ac:dyDescent="0.2">
      <c r="A85" s="4"/>
      <c r="B85" s="4"/>
      <c r="C85" s="25"/>
      <c r="D85" s="25"/>
      <c r="E85" s="25"/>
      <c r="F85" s="25"/>
      <c r="G85" s="25"/>
      <c r="H85" s="25"/>
      <c r="I85" s="25"/>
      <c r="J85" s="25"/>
      <c r="K85" s="4"/>
      <c r="L85" s="25"/>
      <c r="M85" s="25"/>
      <c r="N85" s="25"/>
      <c r="O85" s="4"/>
      <c r="P85" s="4"/>
      <c r="Q85" s="4"/>
    </row>
    <row r="86" spans="1:17" x14ac:dyDescent="0.2">
      <c r="A86" s="4"/>
      <c r="B86" s="4"/>
      <c r="C86" s="25"/>
      <c r="D86" s="25"/>
      <c r="E86" s="25"/>
      <c r="F86" s="25"/>
      <c r="G86" s="25"/>
      <c r="H86" s="25"/>
      <c r="I86" s="25"/>
      <c r="J86" s="25"/>
      <c r="K86" s="4"/>
      <c r="L86" s="25"/>
      <c r="M86" s="25"/>
      <c r="N86" s="25"/>
      <c r="O86" s="4"/>
      <c r="P86" s="4"/>
      <c r="Q86" s="4"/>
    </row>
    <row r="87" spans="1:17" x14ac:dyDescent="0.2">
      <c r="A87" s="4"/>
      <c r="B87" s="4"/>
      <c r="C87" s="25"/>
      <c r="D87" s="25"/>
      <c r="E87" s="25"/>
      <c r="F87" s="25"/>
      <c r="G87" s="25"/>
      <c r="H87" s="25"/>
      <c r="I87" s="25"/>
      <c r="J87" s="25"/>
      <c r="K87" s="4"/>
      <c r="L87" s="25"/>
      <c r="M87" s="25"/>
      <c r="N87" s="25"/>
      <c r="O87" s="4"/>
      <c r="P87" s="4"/>
      <c r="Q87" s="4"/>
    </row>
    <row r="88" spans="1:17" x14ac:dyDescent="0.2">
      <c r="A88" s="4"/>
      <c r="B88" s="4"/>
      <c r="C88" s="25"/>
      <c r="D88" s="25"/>
      <c r="E88" s="25"/>
      <c r="F88" s="25"/>
      <c r="G88" s="25"/>
      <c r="H88" s="25"/>
      <c r="I88" s="25"/>
      <c r="J88" s="25"/>
      <c r="K88" s="4"/>
      <c r="L88" s="25"/>
      <c r="M88" s="25"/>
      <c r="N88" s="25"/>
      <c r="O88" s="4"/>
      <c r="P88" s="4"/>
      <c r="Q88" s="4"/>
    </row>
    <row r="89" spans="1:17" x14ac:dyDescent="0.2">
      <c r="A89" s="4"/>
      <c r="B89" s="4"/>
      <c r="C89" s="25"/>
      <c r="D89" s="25"/>
      <c r="E89" s="25"/>
      <c r="F89" s="25"/>
      <c r="G89" s="25"/>
      <c r="H89" s="25"/>
      <c r="I89" s="25"/>
      <c r="J89" s="25"/>
      <c r="K89" s="4"/>
      <c r="L89" s="25"/>
      <c r="M89" s="25"/>
      <c r="N89" s="25"/>
      <c r="O89" s="4"/>
      <c r="P89" s="4"/>
      <c r="Q89" s="4"/>
    </row>
    <row r="90" spans="1:17" x14ac:dyDescent="0.2">
      <c r="A90" s="4"/>
      <c r="B90" s="4"/>
      <c r="C90" s="25"/>
      <c r="D90" s="25"/>
      <c r="E90" s="25"/>
      <c r="F90" s="25"/>
      <c r="G90" s="25"/>
      <c r="H90" s="25"/>
      <c r="I90" s="25"/>
      <c r="J90" s="25"/>
      <c r="K90" s="4"/>
      <c r="L90" s="25"/>
      <c r="M90" s="25"/>
      <c r="N90" s="25"/>
      <c r="O90" s="4"/>
      <c r="P90" s="4"/>
      <c r="Q90" s="4"/>
    </row>
    <row r="91" spans="1:17" x14ac:dyDescent="0.2">
      <c r="A91" s="4"/>
      <c r="B91" s="4"/>
      <c r="C91" s="25"/>
      <c r="D91" s="25"/>
      <c r="E91" s="25"/>
      <c r="F91" s="25"/>
      <c r="G91" s="25"/>
      <c r="H91" s="25"/>
      <c r="I91" s="25"/>
      <c r="J91" s="25"/>
      <c r="K91" s="4"/>
      <c r="L91" s="25"/>
      <c r="M91" s="25"/>
      <c r="N91" s="25"/>
      <c r="O91" s="4"/>
      <c r="P91" s="4"/>
      <c r="Q91" s="4"/>
    </row>
    <row r="92" spans="1:17" x14ac:dyDescent="0.2">
      <c r="A92" s="4"/>
      <c r="B92" s="4"/>
      <c r="C92" s="25"/>
      <c r="D92" s="25"/>
      <c r="E92" s="25"/>
      <c r="F92" s="25"/>
      <c r="G92" s="25"/>
      <c r="H92" s="25"/>
      <c r="I92" s="25"/>
      <c r="J92" s="25"/>
      <c r="K92" s="4"/>
      <c r="L92" s="25"/>
      <c r="M92" s="25"/>
      <c r="N92" s="25"/>
      <c r="O92" s="4"/>
      <c r="P92" s="4"/>
      <c r="Q92" s="4"/>
    </row>
    <row r="93" spans="1:17" x14ac:dyDescent="0.2">
      <c r="A93" s="4"/>
      <c r="B93" s="4"/>
      <c r="C93" s="25"/>
      <c r="D93" s="25"/>
      <c r="E93" s="25"/>
      <c r="F93" s="25"/>
      <c r="G93" s="25"/>
      <c r="H93" s="25"/>
      <c r="I93" s="25"/>
      <c r="J93" s="25"/>
      <c r="K93" s="4"/>
      <c r="L93" s="25"/>
      <c r="M93" s="25"/>
      <c r="N93" s="25"/>
      <c r="O93" s="4"/>
      <c r="P93" s="4"/>
      <c r="Q93" s="4"/>
    </row>
    <row r="94" spans="1:17" x14ac:dyDescent="0.2">
      <c r="A94" s="4"/>
      <c r="B94" s="4"/>
      <c r="C94" s="25"/>
      <c r="D94" s="25"/>
      <c r="E94" s="25"/>
      <c r="F94" s="25"/>
      <c r="G94" s="25"/>
      <c r="H94" s="25"/>
      <c r="I94" s="25"/>
      <c r="J94" s="25"/>
      <c r="K94" s="4"/>
      <c r="L94" s="25"/>
      <c r="M94" s="25"/>
      <c r="N94" s="25"/>
      <c r="O94" s="4"/>
      <c r="P94" s="4"/>
      <c r="Q94" s="4"/>
    </row>
    <row r="95" spans="1:17" x14ac:dyDescent="0.2">
      <c r="A95" s="4"/>
      <c r="B95" s="4"/>
      <c r="C95" s="25"/>
      <c r="D95" s="25"/>
      <c r="E95" s="25"/>
      <c r="F95" s="25"/>
      <c r="G95" s="25"/>
      <c r="H95" s="25"/>
      <c r="I95" s="25"/>
      <c r="J95" s="25"/>
      <c r="K95" s="4"/>
      <c r="L95" s="25"/>
      <c r="M95" s="25"/>
      <c r="N95" s="25"/>
      <c r="O95" s="4"/>
      <c r="P95" s="4"/>
      <c r="Q95" s="4"/>
    </row>
    <row r="96" spans="1:17" x14ac:dyDescent="0.2">
      <c r="A96" s="4"/>
      <c r="B96" s="4"/>
      <c r="C96" s="25"/>
      <c r="D96" s="25"/>
      <c r="E96" s="25"/>
      <c r="F96" s="25"/>
      <c r="G96" s="25"/>
      <c r="H96" s="25"/>
      <c r="I96" s="25"/>
      <c r="J96" s="25"/>
      <c r="K96" s="4"/>
      <c r="L96" s="25"/>
      <c r="M96" s="25"/>
      <c r="N96" s="25"/>
      <c r="O96" s="4"/>
      <c r="P96" s="4"/>
      <c r="Q96" s="4"/>
    </row>
    <row r="97" spans="1:17" x14ac:dyDescent="0.2">
      <c r="A97" s="4"/>
      <c r="B97" s="4"/>
      <c r="C97" s="25"/>
      <c r="D97" s="25"/>
      <c r="E97" s="25"/>
      <c r="F97" s="25"/>
      <c r="G97" s="25"/>
      <c r="H97" s="25"/>
      <c r="I97" s="25"/>
      <c r="J97" s="25"/>
      <c r="K97" s="4"/>
      <c r="L97" s="25"/>
      <c r="M97" s="25"/>
      <c r="N97" s="25"/>
      <c r="O97" s="4"/>
      <c r="P97" s="4"/>
      <c r="Q97" s="4"/>
    </row>
    <row r="98" spans="1:17" x14ac:dyDescent="0.2">
      <c r="A98" s="4"/>
      <c r="B98" s="4"/>
      <c r="C98" s="25"/>
      <c r="D98" s="25"/>
      <c r="E98" s="25"/>
      <c r="F98" s="25"/>
      <c r="G98" s="25"/>
      <c r="H98" s="25"/>
      <c r="I98" s="25"/>
      <c r="J98" s="25"/>
      <c r="K98" s="4"/>
      <c r="L98" s="25"/>
      <c r="M98" s="25"/>
      <c r="N98" s="25"/>
      <c r="O98" s="4"/>
      <c r="P98" s="4"/>
      <c r="Q98" s="4"/>
    </row>
    <row r="99" spans="1:17" x14ac:dyDescent="0.2">
      <c r="A99" s="4"/>
      <c r="B99" s="4"/>
      <c r="C99" s="25"/>
      <c r="D99" s="25"/>
      <c r="E99" s="25"/>
      <c r="F99" s="25"/>
      <c r="G99" s="25"/>
      <c r="H99" s="25"/>
      <c r="I99" s="25"/>
      <c r="J99" s="25"/>
      <c r="K99" s="4"/>
      <c r="L99" s="25"/>
      <c r="M99" s="25"/>
      <c r="N99" s="25"/>
      <c r="O99" s="4"/>
      <c r="P99" s="4"/>
      <c r="Q99" s="4"/>
    </row>
    <row r="100" spans="1:17" x14ac:dyDescent="0.2">
      <c r="A100" s="4"/>
      <c r="B100" s="4"/>
      <c r="C100" s="25"/>
      <c r="D100" s="25"/>
      <c r="E100" s="25"/>
      <c r="F100" s="25"/>
      <c r="G100" s="25"/>
      <c r="H100" s="25"/>
      <c r="I100" s="25"/>
      <c r="J100" s="25"/>
      <c r="K100" s="4"/>
      <c r="L100" s="25"/>
      <c r="M100" s="25"/>
      <c r="N100" s="25"/>
      <c r="O100" s="4"/>
      <c r="P100" s="4"/>
      <c r="Q100" s="4"/>
    </row>
    <row r="101" spans="1:17" x14ac:dyDescent="0.2">
      <c r="A101" s="4"/>
      <c r="B101" s="4"/>
      <c r="C101" s="25"/>
      <c r="D101" s="25"/>
      <c r="E101" s="25"/>
      <c r="F101" s="25"/>
      <c r="G101" s="25"/>
      <c r="H101" s="25"/>
      <c r="I101" s="25"/>
      <c r="J101" s="25"/>
      <c r="K101" s="4"/>
      <c r="L101" s="25"/>
      <c r="M101" s="25"/>
      <c r="N101" s="25"/>
      <c r="O101" s="4"/>
      <c r="P101" s="4"/>
      <c r="Q101" s="4"/>
    </row>
    <row r="102" spans="1:17" x14ac:dyDescent="0.2">
      <c r="A102" s="4"/>
      <c r="B102" s="4"/>
      <c r="C102" s="25"/>
      <c r="D102" s="25"/>
      <c r="E102" s="25"/>
      <c r="F102" s="25"/>
      <c r="G102" s="25"/>
      <c r="H102" s="25"/>
      <c r="I102" s="25"/>
      <c r="J102" s="25"/>
      <c r="K102" s="4"/>
      <c r="L102" s="25"/>
      <c r="M102" s="25"/>
      <c r="N102" s="25"/>
      <c r="O102" s="4"/>
      <c r="P102" s="4"/>
      <c r="Q102" s="4"/>
    </row>
    <row r="103" spans="1:17" x14ac:dyDescent="0.2">
      <c r="A103" s="4"/>
      <c r="B103" s="4"/>
      <c r="C103" s="25"/>
      <c r="D103" s="25"/>
      <c r="E103" s="25"/>
      <c r="F103" s="25"/>
      <c r="G103" s="25"/>
      <c r="H103" s="25"/>
      <c r="I103" s="25"/>
      <c r="J103" s="25"/>
      <c r="K103" s="4"/>
      <c r="L103" s="25"/>
      <c r="M103" s="25"/>
      <c r="N103" s="25"/>
      <c r="O103" s="4"/>
      <c r="P103" s="4"/>
      <c r="Q103" s="4"/>
    </row>
    <row r="104" spans="1:17" x14ac:dyDescent="0.2">
      <c r="A104" s="4"/>
      <c r="B104" s="4"/>
      <c r="C104" s="25"/>
      <c r="D104" s="25"/>
      <c r="E104" s="25"/>
      <c r="F104" s="25"/>
      <c r="G104" s="25"/>
      <c r="H104" s="25"/>
      <c r="I104" s="25"/>
      <c r="J104" s="25"/>
      <c r="K104" s="4"/>
      <c r="L104" s="25"/>
      <c r="M104" s="25"/>
      <c r="N104" s="25"/>
      <c r="O104" s="4"/>
      <c r="P104" s="4"/>
      <c r="Q104" s="4"/>
    </row>
    <row r="105" spans="1:17" x14ac:dyDescent="0.2">
      <c r="A105" s="4"/>
      <c r="B105" s="4"/>
      <c r="C105" s="25"/>
      <c r="D105" s="25"/>
      <c r="E105" s="25"/>
      <c r="F105" s="25"/>
      <c r="G105" s="25"/>
      <c r="H105" s="25"/>
      <c r="I105" s="25"/>
      <c r="J105" s="25"/>
      <c r="K105" s="4"/>
      <c r="L105" s="25"/>
      <c r="M105" s="25"/>
      <c r="N105" s="25"/>
      <c r="O105" s="4"/>
      <c r="P105" s="4"/>
      <c r="Q105" s="4"/>
    </row>
    <row r="106" spans="1:17" x14ac:dyDescent="0.2">
      <c r="A106" s="4"/>
      <c r="B106" s="4"/>
      <c r="C106" s="25"/>
      <c r="D106" s="25"/>
      <c r="E106" s="25"/>
      <c r="F106" s="25"/>
      <c r="G106" s="25"/>
      <c r="H106" s="25"/>
      <c r="I106" s="25"/>
      <c r="J106" s="25"/>
      <c r="K106" s="4"/>
      <c r="L106" s="25"/>
      <c r="M106" s="25"/>
      <c r="N106" s="25"/>
      <c r="O106" s="4"/>
      <c r="P106" s="4"/>
      <c r="Q106" s="4"/>
    </row>
    <row r="107" spans="1:17" x14ac:dyDescent="0.2">
      <c r="A107" s="4"/>
      <c r="B107" s="4"/>
      <c r="C107" s="25"/>
      <c r="D107" s="25"/>
      <c r="E107" s="25"/>
      <c r="F107" s="25"/>
      <c r="G107" s="25"/>
      <c r="H107" s="25"/>
      <c r="I107" s="25"/>
      <c r="J107" s="25"/>
      <c r="K107" s="4"/>
      <c r="L107" s="25"/>
      <c r="M107" s="25"/>
      <c r="N107" s="25"/>
      <c r="O107" s="4"/>
      <c r="P107" s="4"/>
      <c r="Q107" s="4"/>
    </row>
    <row r="108" spans="1:17" x14ac:dyDescent="0.2">
      <c r="A108" s="4"/>
      <c r="B108" s="4"/>
      <c r="C108" s="25"/>
      <c r="D108" s="25"/>
      <c r="E108" s="25"/>
      <c r="F108" s="25"/>
      <c r="G108" s="25"/>
      <c r="H108" s="25"/>
      <c r="I108" s="25"/>
      <c r="J108" s="25"/>
      <c r="K108" s="4"/>
      <c r="L108" s="25"/>
      <c r="M108" s="25"/>
      <c r="N108" s="25"/>
      <c r="O108" s="4"/>
      <c r="P108" s="4"/>
      <c r="Q108" s="4"/>
    </row>
    <row r="109" spans="1:17" x14ac:dyDescent="0.2">
      <c r="A109" s="4"/>
      <c r="B109" s="4"/>
      <c r="C109" s="25"/>
      <c r="D109" s="25"/>
      <c r="E109" s="25"/>
      <c r="F109" s="25"/>
      <c r="G109" s="25"/>
      <c r="H109" s="25"/>
      <c r="I109" s="25"/>
      <c r="J109" s="25"/>
      <c r="K109" s="4"/>
      <c r="L109" s="25"/>
      <c r="M109" s="25"/>
      <c r="N109" s="25"/>
      <c r="O109" s="4"/>
      <c r="P109" s="4"/>
      <c r="Q109" s="4"/>
    </row>
    <row r="110" spans="1:17" x14ac:dyDescent="0.2">
      <c r="A110" s="4"/>
      <c r="B110" s="4"/>
      <c r="C110" s="25"/>
      <c r="D110" s="25"/>
      <c r="E110" s="25"/>
      <c r="F110" s="25"/>
      <c r="G110" s="25"/>
      <c r="H110" s="25"/>
      <c r="I110" s="25"/>
      <c r="J110" s="25"/>
      <c r="K110" s="4"/>
      <c r="L110" s="25"/>
      <c r="M110" s="25"/>
      <c r="N110" s="25"/>
      <c r="O110" s="4"/>
      <c r="P110" s="4"/>
      <c r="Q110" s="4"/>
    </row>
    <row r="111" spans="1:17" x14ac:dyDescent="0.2">
      <c r="A111" s="4"/>
      <c r="B111" s="4"/>
      <c r="C111" s="25"/>
      <c r="D111" s="25"/>
      <c r="E111" s="25"/>
      <c r="F111" s="25"/>
      <c r="G111" s="25"/>
      <c r="H111" s="25"/>
      <c r="I111" s="25"/>
      <c r="J111" s="25"/>
      <c r="K111" s="4"/>
      <c r="L111" s="25"/>
      <c r="M111" s="25"/>
      <c r="N111" s="25"/>
      <c r="O111" s="4"/>
      <c r="P111" s="4"/>
      <c r="Q111" s="4"/>
    </row>
    <row r="112" spans="1:17" x14ac:dyDescent="0.2">
      <c r="A112" s="4"/>
      <c r="B112" s="4"/>
      <c r="C112" s="25"/>
      <c r="D112" s="25"/>
      <c r="E112" s="25"/>
      <c r="F112" s="25"/>
      <c r="G112" s="25"/>
      <c r="H112" s="25"/>
      <c r="I112" s="25"/>
      <c r="J112" s="25"/>
      <c r="K112" s="4"/>
      <c r="L112" s="25"/>
      <c r="M112" s="25"/>
      <c r="N112" s="25"/>
      <c r="O112" s="4"/>
      <c r="P112" s="4"/>
      <c r="Q112" s="4"/>
    </row>
    <row r="113" spans="1:17" x14ac:dyDescent="0.2">
      <c r="A113" s="4"/>
      <c r="B113" s="4"/>
      <c r="C113" s="25"/>
      <c r="D113" s="25"/>
      <c r="E113" s="25"/>
      <c r="F113" s="25"/>
      <c r="G113" s="25"/>
      <c r="H113" s="25"/>
      <c r="I113" s="25"/>
      <c r="J113" s="25"/>
      <c r="K113" s="4"/>
      <c r="L113" s="25"/>
      <c r="M113" s="25"/>
      <c r="N113" s="25"/>
      <c r="O113" s="4"/>
      <c r="P113" s="4"/>
      <c r="Q113" s="4"/>
    </row>
    <row r="114" spans="1:17" x14ac:dyDescent="0.2">
      <c r="A114" s="4"/>
      <c r="B114" s="4"/>
      <c r="C114" s="25"/>
      <c r="D114" s="25"/>
      <c r="E114" s="25"/>
      <c r="F114" s="25"/>
      <c r="G114" s="25"/>
      <c r="H114" s="25"/>
      <c r="I114" s="25"/>
      <c r="J114" s="25"/>
      <c r="K114" s="4"/>
      <c r="L114" s="25"/>
      <c r="M114" s="25"/>
      <c r="N114" s="25"/>
      <c r="O114" s="4"/>
      <c r="P114" s="4"/>
      <c r="Q114" s="4"/>
    </row>
    <row r="115" spans="1:17" x14ac:dyDescent="0.2">
      <c r="A115" s="4"/>
      <c r="B115" s="4"/>
      <c r="C115" s="25"/>
      <c r="D115" s="25"/>
      <c r="E115" s="25"/>
      <c r="F115" s="25"/>
      <c r="G115" s="25"/>
      <c r="H115" s="25"/>
      <c r="I115" s="25"/>
      <c r="J115" s="25"/>
      <c r="K115" s="4"/>
      <c r="L115" s="25"/>
      <c r="M115" s="25"/>
      <c r="N115" s="25"/>
      <c r="O115" s="4"/>
      <c r="P115" s="4"/>
      <c r="Q115" s="4"/>
    </row>
    <row r="116" spans="1:17" x14ac:dyDescent="0.2">
      <c r="A116" s="4"/>
      <c r="B116" s="4"/>
      <c r="C116" s="25"/>
      <c r="D116" s="25"/>
      <c r="E116" s="25"/>
      <c r="F116" s="25"/>
      <c r="G116" s="25"/>
      <c r="H116" s="25"/>
      <c r="I116" s="25"/>
      <c r="J116" s="25"/>
      <c r="K116" s="4"/>
      <c r="L116" s="25"/>
      <c r="M116" s="25"/>
      <c r="N116" s="25"/>
      <c r="O116" s="4"/>
      <c r="P116" s="4"/>
      <c r="Q116" s="4"/>
    </row>
    <row r="117" spans="1:17" x14ac:dyDescent="0.2">
      <c r="A117" s="4"/>
      <c r="B117" s="4"/>
      <c r="C117" s="25"/>
      <c r="D117" s="25"/>
      <c r="E117" s="25"/>
      <c r="F117" s="25"/>
      <c r="G117" s="25"/>
      <c r="H117" s="25"/>
      <c r="I117" s="25"/>
      <c r="J117" s="25"/>
      <c r="K117" s="4"/>
      <c r="L117" s="25"/>
      <c r="M117" s="25"/>
      <c r="N117" s="25"/>
      <c r="O117" s="4"/>
      <c r="P117" s="4"/>
      <c r="Q117" s="4"/>
    </row>
    <row r="118" spans="1:17" x14ac:dyDescent="0.2">
      <c r="A118" s="4"/>
      <c r="B118" s="4"/>
      <c r="C118" s="25"/>
      <c r="D118" s="25"/>
      <c r="E118" s="25"/>
      <c r="F118" s="25"/>
      <c r="G118" s="25"/>
      <c r="H118" s="25"/>
      <c r="I118" s="25"/>
      <c r="J118" s="25"/>
      <c r="K118" s="4"/>
      <c r="L118" s="25"/>
      <c r="M118" s="25"/>
      <c r="N118" s="25"/>
      <c r="O118" s="4"/>
      <c r="P118" s="4"/>
      <c r="Q118" s="4"/>
    </row>
    <row r="119" spans="1:17" x14ac:dyDescent="0.2">
      <c r="A119" s="4"/>
      <c r="B119" s="4"/>
      <c r="C119" s="25"/>
      <c r="D119" s="25"/>
      <c r="E119" s="25"/>
      <c r="F119" s="25"/>
      <c r="G119" s="25"/>
      <c r="H119" s="25"/>
      <c r="I119" s="25"/>
      <c r="J119" s="25"/>
      <c r="K119" s="4"/>
      <c r="L119" s="25"/>
      <c r="M119" s="25"/>
      <c r="N119" s="25"/>
      <c r="O119" s="4"/>
      <c r="P119" s="4"/>
      <c r="Q119" s="4"/>
    </row>
    <row r="120" spans="1:17" x14ac:dyDescent="0.2">
      <c r="A120" s="4"/>
      <c r="B120" s="4"/>
      <c r="C120" s="25"/>
      <c r="D120" s="25"/>
      <c r="E120" s="25"/>
      <c r="F120" s="25"/>
      <c r="G120" s="25"/>
      <c r="H120" s="25"/>
      <c r="I120" s="25"/>
      <c r="J120" s="25"/>
      <c r="K120" s="4"/>
      <c r="L120" s="25"/>
      <c r="M120" s="25"/>
      <c r="N120" s="25"/>
      <c r="O120" s="4"/>
      <c r="P120" s="4"/>
      <c r="Q120" s="4"/>
    </row>
    <row r="121" spans="1:17" x14ac:dyDescent="0.2">
      <c r="A121" s="4"/>
      <c r="B121" s="4"/>
      <c r="C121" s="25"/>
      <c r="D121" s="25"/>
      <c r="E121" s="25"/>
      <c r="F121" s="25"/>
      <c r="G121" s="25"/>
      <c r="H121" s="25"/>
      <c r="I121" s="25"/>
      <c r="J121" s="25"/>
      <c r="K121" s="4"/>
      <c r="L121" s="25"/>
      <c r="M121" s="25"/>
      <c r="N121" s="25"/>
      <c r="O121" s="4"/>
      <c r="P121" s="4"/>
      <c r="Q121" s="4"/>
    </row>
    <row r="122" spans="1:17" x14ac:dyDescent="0.2">
      <c r="A122" s="4"/>
      <c r="B122" s="4"/>
      <c r="C122" s="25"/>
      <c r="D122" s="25"/>
      <c r="E122" s="25"/>
      <c r="F122" s="25"/>
      <c r="G122" s="25"/>
      <c r="H122" s="25"/>
      <c r="I122" s="25"/>
      <c r="J122" s="25"/>
      <c r="K122" s="4"/>
      <c r="L122" s="25"/>
      <c r="M122" s="25"/>
      <c r="N122" s="25"/>
      <c r="O122" s="4"/>
      <c r="P122" s="4"/>
      <c r="Q122" s="4"/>
    </row>
    <row r="123" spans="1:17" x14ac:dyDescent="0.2">
      <c r="A123" s="4"/>
      <c r="B123" s="4"/>
      <c r="C123" s="25"/>
      <c r="D123" s="25"/>
      <c r="E123" s="25"/>
      <c r="F123" s="25"/>
      <c r="G123" s="25"/>
      <c r="H123" s="25"/>
      <c r="I123" s="25"/>
      <c r="J123" s="25"/>
      <c r="K123" s="4"/>
      <c r="L123" s="25"/>
      <c r="M123" s="25"/>
      <c r="N123" s="25"/>
      <c r="O123" s="4"/>
      <c r="P123" s="4"/>
      <c r="Q123" s="4"/>
    </row>
    <row r="124" spans="1:17" x14ac:dyDescent="0.2">
      <c r="A124" s="4"/>
      <c r="B124" s="4"/>
      <c r="C124" s="25"/>
      <c r="D124" s="25"/>
      <c r="E124" s="25"/>
      <c r="F124" s="25"/>
      <c r="G124" s="25"/>
      <c r="H124" s="25"/>
      <c r="I124" s="25"/>
      <c r="J124" s="25"/>
      <c r="K124" s="4"/>
      <c r="L124" s="25"/>
      <c r="M124" s="25"/>
      <c r="N124" s="25"/>
      <c r="O124" s="4"/>
      <c r="P124" s="4"/>
      <c r="Q124" s="4"/>
    </row>
    <row r="125" spans="1:17" x14ac:dyDescent="0.2">
      <c r="A125" s="4"/>
      <c r="B125" s="4"/>
      <c r="C125" s="25"/>
      <c r="D125" s="25"/>
      <c r="E125" s="25"/>
      <c r="F125" s="25"/>
      <c r="G125" s="25"/>
      <c r="H125" s="25"/>
      <c r="I125" s="25"/>
      <c r="J125" s="25"/>
      <c r="K125" s="4"/>
      <c r="L125" s="25"/>
      <c r="M125" s="25"/>
      <c r="N125" s="25"/>
      <c r="O125" s="4"/>
      <c r="P125" s="4"/>
      <c r="Q125" s="4"/>
    </row>
    <row r="126" spans="1:17" x14ac:dyDescent="0.2">
      <c r="A126" s="4"/>
      <c r="B126" s="4"/>
      <c r="C126" s="25"/>
      <c r="D126" s="25"/>
      <c r="E126" s="25"/>
      <c r="F126" s="25"/>
      <c r="G126" s="25"/>
      <c r="H126" s="25"/>
      <c r="I126" s="25"/>
      <c r="J126" s="25"/>
      <c r="K126" s="4"/>
      <c r="L126" s="25"/>
      <c r="M126" s="25"/>
      <c r="N126" s="25"/>
      <c r="O126" s="4"/>
      <c r="P126" s="4"/>
      <c r="Q126" s="4"/>
    </row>
    <row r="127" spans="1:17" x14ac:dyDescent="0.2">
      <c r="A127" s="4"/>
      <c r="B127" s="4"/>
      <c r="C127" s="25"/>
      <c r="D127" s="25"/>
      <c r="E127" s="25"/>
      <c r="F127" s="25"/>
      <c r="G127" s="25"/>
      <c r="H127" s="25"/>
      <c r="I127" s="25"/>
      <c r="J127" s="25"/>
      <c r="K127" s="4"/>
      <c r="L127" s="25"/>
      <c r="M127" s="25"/>
      <c r="N127" s="25"/>
      <c r="O127" s="4"/>
      <c r="P127" s="4"/>
      <c r="Q127" s="4"/>
    </row>
    <row r="128" spans="1:17" x14ac:dyDescent="0.2">
      <c r="A128" s="4"/>
      <c r="B128" s="4"/>
      <c r="C128" s="25"/>
      <c r="D128" s="25"/>
      <c r="E128" s="25"/>
      <c r="F128" s="25"/>
      <c r="G128" s="25"/>
      <c r="H128" s="25"/>
      <c r="I128" s="25"/>
      <c r="J128" s="25"/>
      <c r="K128" s="4"/>
      <c r="L128" s="25"/>
      <c r="M128" s="25"/>
      <c r="N128" s="25"/>
      <c r="O128" s="4"/>
      <c r="P128" s="4"/>
      <c r="Q128" s="4"/>
    </row>
    <row r="129" spans="1:17" x14ac:dyDescent="0.2">
      <c r="A129" s="4"/>
      <c r="B129" s="4"/>
      <c r="C129" s="25"/>
      <c r="D129" s="25"/>
      <c r="E129" s="25"/>
      <c r="F129" s="25"/>
      <c r="G129" s="25"/>
      <c r="H129" s="25"/>
      <c r="I129" s="25"/>
      <c r="J129" s="25"/>
      <c r="K129" s="4"/>
      <c r="L129" s="25"/>
      <c r="M129" s="25"/>
      <c r="N129" s="25"/>
      <c r="O129" s="4"/>
      <c r="P129" s="4"/>
      <c r="Q129" s="4"/>
    </row>
    <row r="130" spans="1:17" x14ac:dyDescent="0.2">
      <c r="A130" s="4"/>
      <c r="B130" s="4"/>
      <c r="C130" s="25"/>
      <c r="D130" s="25"/>
      <c r="E130" s="25"/>
      <c r="F130" s="25"/>
      <c r="G130" s="25"/>
      <c r="H130" s="25"/>
      <c r="I130" s="25"/>
      <c r="J130" s="25"/>
      <c r="K130" s="4"/>
      <c r="L130" s="25"/>
      <c r="M130" s="25"/>
      <c r="N130" s="25"/>
      <c r="O130" s="4"/>
      <c r="P130" s="4"/>
      <c r="Q130" s="4"/>
    </row>
    <row r="131" spans="1:17" x14ac:dyDescent="0.2">
      <c r="A131" s="4"/>
      <c r="B131" s="4"/>
      <c r="C131" s="25"/>
      <c r="D131" s="25"/>
      <c r="E131" s="25"/>
      <c r="F131" s="25"/>
      <c r="G131" s="25"/>
      <c r="H131" s="25"/>
      <c r="I131" s="25"/>
      <c r="J131" s="25"/>
      <c r="K131" s="4"/>
      <c r="L131" s="25"/>
      <c r="M131" s="25"/>
      <c r="N131" s="25"/>
      <c r="O131" s="4"/>
      <c r="P131" s="4"/>
      <c r="Q131" s="4"/>
    </row>
    <row r="132" spans="1:17" x14ac:dyDescent="0.2">
      <c r="A132" s="4"/>
      <c r="B132" s="4"/>
      <c r="C132" s="25"/>
      <c r="D132" s="25"/>
      <c r="E132" s="25"/>
      <c r="F132" s="25"/>
      <c r="G132" s="25"/>
      <c r="H132" s="25"/>
      <c r="I132" s="25"/>
      <c r="J132" s="25"/>
      <c r="K132" s="4"/>
      <c r="L132" s="25"/>
      <c r="M132" s="25"/>
      <c r="N132" s="25"/>
      <c r="O132" s="4"/>
      <c r="P132" s="4"/>
      <c r="Q132" s="4"/>
    </row>
    <row r="133" spans="1:17" x14ac:dyDescent="0.2">
      <c r="A133" s="4"/>
      <c r="B133" s="4"/>
      <c r="C133" s="25"/>
      <c r="D133" s="25"/>
      <c r="E133" s="25"/>
      <c r="F133" s="25"/>
      <c r="G133" s="25"/>
      <c r="H133" s="25"/>
      <c r="I133" s="25"/>
      <c r="J133" s="25"/>
      <c r="K133" s="4"/>
      <c r="L133" s="25"/>
      <c r="M133" s="25"/>
      <c r="N133" s="25"/>
      <c r="O133" s="4"/>
      <c r="P133" s="4"/>
      <c r="Q133" s="4"/>
    </row>
    <row r="134" spans="1:17" x14ac:dyDescent="0.2">
      <c r="A134" s="4"/>
      <c r="B134" s="4"/>
      <c r="C134" s="25"/>
      <c r="D134" s="25"/>
      <c r="E134" s="25"/>
      <c r="F134" s="25"/>
      <c r="G134" s="25"/>
      <c r="H134" s="25"/>
      <c r="I134" s="25"/>
      <c r="J134" s="25"/>
      <c r="K134" s="4"/>
      <c r="L134" s="25"/>
      <c r="M134" s="25"/>
      <c r="N134" s="25"/>
      <c r="O134" s="4"/>
      <c r="P134" s="4"/>
      <c r="Q134" s="4"/>
    </row>
    <row r="135" spans="1:17" x14ac:dyDescent="0.2">
      <c r="C135" s="121"/>
    </row>
    <row r="136" spans="1:17" x14ac:dyDescent="0.2">
      <c r="C136" s="121"/>
    </row>
    <row r="137" spans="1:17" x14ac:dyDescent="0.2">
      <c r="C137" s="121"/>
    </row>
    <row r="138" spans="1:17" x14ac:dyDescent="0.2">
      <c r="C138" s="121"/>
    </row>
    <row r="139" spans="1:17" x14ac:dyDescent="0.2">
      <c r="C139" s="121"/>
    </row>
    <row r="140" spans="1:17" x14ac:dyDescent="0.2">
      <c r="C140" s="121"/>
    </row>
    <row r="141" spans="1:17" x14ac:dyDescent="0.2">
      <c r="C141" s="121"/>
    </row>
    <row r="142" spans="1:17" x14ac:dyDescent="0.2">
      <c r="C142" s="121"/>
    </row>
    <row r="143" spans="1:17" x14ac:dyDescent="0.2">
      <c r="C143" s="121"/>
    </row>
    <row r="144" spans="1:17"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row r="178" spans="3:3" x14ac:dyDescent="0.2">
      <c r="C178" s="121"/>
    </row>
    <row r="179" spans="3:3" x14ac:dyDescent="0.2">
      <c r="C179" s="121"/>
    </row>
    <row r="180" spans="3:3" x14ac:dyDescent="0.2">
      <c r="C180" s="121"/>
    </row>
    <row r="181" spans="3:3" x14ac:dyDescent="0.2">
      <c r="C181" s="121"/>
    </row>
    <row r="182" spans="3:3" x14ac:dyDescent="0.2">
      <c r="C182" s="121"/>
    </row>
    <row r="183" spans="3:3" x14ac:dyDescent="0.2">
      <c r="C183" s="121"/>
    </row>
    <row r="184" spans="3:3" x14ac:dyDescent="0.2">
      <c r="C184"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verticalDpi="300" r:id="rId1"/>
  <headerFooter alignWithMargins="0">
    <oddFooter>&amp;L&amp;D     &amp;T&amp;C&amp;F&amp;R&amp;A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zoomScale="85" zoomScaleNormal="85" workbookViewId="0">
      <pane ySplit="7" topLeftCell="A42" activePane="bottomLeft" state="frozen"/>
      <selection activeCell="K15" sqref="K15"/>
      <selection pane="bottomLeft" activeCell="N55" sqref="N55"/>
    </sheetView>
  </sheetViews>
  <sheetFormatPr defaultRowHeight="12.75" x14ac:dyDescent="0.2"/>
  <cols>
    <col min="1" max="1" width="13.83203125" customWidth="1"/>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 min="18" max="18" width="13.5" bestFit="1" customWidth="1"/>
  </cols>
  <sheetData>
    <row r="1" spans="1:17" x14ac:dyDescent="0.2">
      <c r="A1" s="410" t="s">
        <v>1013</v>
      </c>
      <c r="B1" s="410" t="s">
        <v>1418</v>
      </c>
    </row>
    <row r="2" spans="1:17" ht="15" x14ac:dyDescent="0.25">
      <c r="A2" s="49" t="s">
        <v>259</v>
      </c>
      <c r="B2" s="49"/>
      <c r="E2" s="153"/>
      <c r="H2" s="153" t="s">
        <v>252</v>
      </c>
      <c r="I2" s="153"/>
      <c r="J2" s="153"/>
      <c r="K2" s="67" t="s">
        <v>310</v>
      </c>
      <c r="L2" s="243"/>
      <c r="M2" s="50" t="s">
        <v>496</v>
      </c>
    </row>
    <row r="3" spans="1:17" ht="13.5" thickBot="1" x14ac:dyDescent="0.25">
      <c r="A3" s="4"/>
      <c r="B3" s="4"/>
      <c r="C3" s="25"/>
      <c r="D3" s="25"/>
      <c r="E3" s="25"/>
      <c r="F3" s="25"/>
      <c r="G3" s="25"/>
      <c r="H3" s="25"/>
      <c r="I3" s="25"/>
      <c r="J3" s="25"/>
      <c r="K3" s="4"/>
      <c r="L3" s="25"/>
      <c r="M3" s="4"/>
      <c r="N3" s="4"/>
      <c r="P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449"/>
      <c r="J5" s="449"/>
      <c r="K5" s="120" t="s">
        <v>509</v>
      </c>
      <c r="L5" s="95" t="s">
        <v>7</v>
      </c>
      <c r="M5" s="209" t="s">
        <v>783</v>
      </c>
    </row>
    <row r="6" spans="1:17" x14ac:dyDescent="0.2">
      <c r="A6" s="93"/>
      <c r="B6" s="216"/>
      <c r="C6" s="137"/>
      <c r="D6" s="137"/>
      <c r="E6" s="137"/>
      <c r="F6" s="137"/>
      <c r="G6" s="137"/>
      <c r="H6" s="137"/>
      <c r="I6" s="370"/>
      <c r="J6" s="370"/>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7" ht="13.5" thickTop="1" x14ac:dyDescent="0.2">
      <c r="A8" s="10"/>
      <c r="B8" s="192"/>
      <c r="C8" s="139"/>
      <c r="D8" s="345"/>
      <c r="E8" s="345"/>
      <c r="F8" s="345"/>
      <c r="G8" s="345"/>
      <c r="H8" s="345"/>
      <c r="I8" s="345"/>
      <c r="J8" s="177"/>
      <c r="K8" s="68"/>
      <c r="L8" s="11"/>
      <c r="M8" s="11"/>
    </row>
    <row r="9" spans="1:17" x14ac:dyDescent="0.2">
      <c r="A9" s="12">
        <v>5111</v>
      </c>
      <c r="B9" s="117" t="s">
        <v>684</v>
      </c>
      <c r="C9" s="140">
        <v>117196.8</v>
      </c>
      <c r="D9" s="14">
        <v>130066.4</v>
      </c>
      <c r="E9" s="14">
        <v>130758.41</v>
      </c>
      <c r="F9" s="14">
        <v>135465.42000000001</v>
      </c>
      <c r="G9" s="14">
        <v>139776.63</v>
      </c>
      <c r="H9" s="14">
        <v>144545.66</v>
      </c>
      <c r="I9" s="14">
        <f>25801.3+117025.1</f>
        <v>142826.4</v>
      </c>
      <c r="J9" s="15">
        <f>783+686+3500+147894</f>
        <v>152863</v>
      </c>
      <c r="K9" s="14">
        <v>70644.3</v>
      </c>
      <c r="L9" s="15">
        <f>ROUND((SUM(K51:K54)),0)</f>
        <v>158651</v>
      </c>
      <c r="M9" s="15"/>
      <c r="N9" s="74"/>
    </row>
    <row r="10" spans="1:17" x14ac:dyDescent="0.2">
      <c r="A10" s="12">
        <v>5113</v>
      </c>
      <c r="B10" s="69" t="s">
        <v>685</v>
      </c>
      <c r="C10" s="140">
        <v>90290.59</v>
      </c>
      <c r="D10" s="14">
        <v>72415.990000000005</v>
      </c>
      <c r="E10" s="14">
        <v>96098.85</v>
      </c>
      <c r="F10" s="14">
        <v>96540.9</v>
      </c>
      <c r="G10" s="14">
        <v>103043.3</v>
      </c>
      <c r="H10" s="14">
        <v>103709.41</v>
      </c>
      <c r="I10" s="14">
        <f>-25801.3+132712.7</f>
        <v>106911.40000000001</v>
      </c>
      <c r="J10" s="132">
        <f>1182+117724</f>
        <v>118906</v>
      </c>
      <c r="K10" s="14">
        <v>59968.5</v>
      </c>
      <c r="L10" s="132">
        <f>ROUND((SUM(K55:K61)),0)</f>
        <v>124243</v>
      </c>
      <c r="M10" s="15"/>
      <c r="N10" s="74"/>
    </row>
    <row r="11" spans="1:17" x14ac:dyDescent="0.2">
      <c r="A11" s="12">
        <v>5142</v>
      </c>
      <c r="B11" s="69" t="s">
        <v>159</v>
      </c>
      <c r="C11" s="140">
        <v>453.6</v>
      </c>
      <c r="D11" s="14">
        <v>480.12</v>
      </c>
      <c r="E11" s="14">
        <v>475.91</v>
      </c>
      <c r="F11" s="14">
        <v>465.95</v>
      </c>
      <c r="G11" s="14">
        <v>464.19</v>
      </c>
      <c r="H11" s="14">
        <f>25.2+430.68</f>
        <v>455.88</v>
      </c>
      <c r="I11" s="14">
        <v>452.2</v>
      </c>
      <c r="J11" s="15">
        <f>646+500</f>
        <v>1146</v>
      </c>
      <c r="K11" s="14">
        <v>319.73</v>
      </c>
      <c r="L11" s="132">
        <v>750</v>
      </c>
      <c r="M11" s="15"/>
      <c r="N11" s="74"/>
    </row>
    <row r="12" spans="1:17" x14ac:dyDescent="0.2">
      <c r="A12" s="12">
        <v>5144</v>
      </c>
      <c r="B12" s="69" t="s">
        <v>152</v>
      </c>
      <c r="C12" s="263">
        <v>750</v>
      </c>
      <c r="D12" s="39">
        <v>900</v>
      </c>
      <c r="E12" s="39">
        <v>900</v>
      </c>
      <c r="F12" s="39">
        <v>900</v>
      </c>
      <c r="G12" s="39">
        <v>2500</v>
      </c>
      <c r="H12" s="39">
        <v>2700</v>
      </c>
      <c r="I12" s="39">
        <v>1600</v>
      </c>
      <c r="J12" s="40">
        <v>1900</v>
      </c>
      <c r="K12" s="39">
        <v>800</v>
      </c>
      <c r="L12" s="40">
        <f>+N62</f>
        <v>2200</v>
      </c>
      <c r="M12" s="40"/>
    </row>
    <row r="13" spans="1:17" x14ac:dyDescent="0.2">
      <c r="A13" s="12">
        <v>5193</v>
      </c>
      <c r="B13" s="69" t="s">
        <v>695</v>
      </c>
      <c r="C13" s="263"/>
      <c r="D13" s="39">
        <v>6487.78</v>
      </c>
      <c r="E13" s="39"/>
      <c r="F13" s="39">
        <v>707.13</v>
      </c>
      <c r="G13" s="39"/>
      <c r="H13" s="39">
        <v>2715.6</v>
      </c>
      <c r="I13" s="39">
        <v>1817.29</v>
      </c>
      <c r="J13" s="40"/>
      <c r="K13" s="39"/>
      <c r="L13" s="40"/>
      <c r="M13" s="40"/>
    </row>
    <row r="14" spans="1:17" ht="13.5" thickBot="1" x14ac:dyDescent="0.25">
      <c r="A14" s="12">
        <v>5194</v>
      </c>
      <c r="B14" s="69" t="s">
        <v>221</v>
      </c>
      <c r="C14" s="141"/>
      <c r="D14" s="16">
        <v>2500</v>
      </c>
      <c r="E14" s="16"/>
      <c r="F14" s="16">
        <v>410.14</v>
      </c>
      <c r="G14" s="16"/>
      <c r="H14" s="16">
        <v>3188.64</v>
      </c>
      <c r="I14" s="16"/>
      <c r="J14" s="17"/>
      <c r="K14" s="16"/>
      <c r="L14" s="17"/>
      <c r="M14" s="17"/>
    </row>
    <row r="15" spans="1:17" x14ac:dyDescent="0.2">
      <c r="A15" s="12"/>
      <c r="B15" s="70" t="s">
        <v>125</v>
      </c>
      <c r="C15" s="142">
        <f t="shared" ref="C15:I15" si="0">SUM(C9:C14)</f>
        <v>208690.99000000002</v>
      </c>
      <c r="D15" s="19">
        <f t="shared" si="0"/>
        <v>212850.29</v>
      </c>
      <c r="E15" s="19">
        <f t="shared" si="0"/>
        <v>228233.17</v>
      </c>
      <c r="F15" s="19">
        <f>SUM(F9:F14)</f>
        <v>234489.54000000004</v>
      </c>
      <c r="G15" s="19">
        <f>SUM(G9:G14)</f>
        <v>245784.12</v>
      </c>
      <c r="H15" s="19">
        <f>SUM(H9:H14)</f>
        <v>257315.19000000003</v>
      </c>
      <c r="I15" s="19">
        <f t="shared" si="0"/>
        <v>253607.29</v>
      </c>
      <c r="J15" s="20">
        <f>SUM(J9:J14)</f>
        <v>274815</v>
      </c>
      <c r="K15" s="19">
        <v>11000</v>
      </c>
      <c r="L15" s="20">
        <f>SUM(L9:L14)</f>
        <v>285844</v>
      </c>
      <c r="M15" s="20">
        <f>SUM(M9:M14)</f>
        <v>0</v>
      </c>
      <c r="P15" s="225"/>
      <c r="Q15" s="59"/>
    </row>
    <row r="16" spans="1:17" x14ac:dyDescent="0.2">
      <c r="A16" s="12"/>
      <c r="B16" s="69"/>
      <c r="C16" s="140"/>
      <c r="D16" s="14"/>
      <c r="E16" s="14"/>
      <c r="F16" s="14"/>
      <c r="G16" s="14"/>
      <c r="H16" s="14"/>
      <c r="I16" s="14"/>
      <c r="J16" s="15"/>
      <c r="K16" s="14"/>
      <c r="L16" s="15"/>
      <c r="M16" s="15"/>
      <c r="N16" s="254" t="s">
        <v>1372</v>
      </c>
      <c r="P16" s="225"/>
      <c r="Q16" s="59"/>
    </row>
    <row r="17" spans="1:17" x14ac:dyDescent="0.2">
      <c r="A17" s="12">
        <v>5211</v>
      </c>
      <c r="B17" s="69" t="s">
        <v>187</v>
      </c>
      <c r="C17" s="140">
        <v>6528.19</v>
      </c>
      <c r="D17" s="14">
        <v>7238.61</v>
      </c>
      <c r="E17" s="14">
        <v>6501.22</v>
      </c>
      <c r="F17" s="14">
        <v>7216.42</v>
      </c>
      <c r="G17" s="14">
        <v>6797.06</v>
      </c>
      <c r="H17" s="14">
        <v>7120.37</v>
      </c>
      <c r="I17" s="156">
        <v>7747.08</v>
      </c>
      <c r="J17" s="132">
        <v>7200</v>
      </c>
      <c r="K17" s="14">
        <v>3502.71</v>
      </c>
      <c r="L17" s="132">
        <v>8000</v>
      </c>
      <c r="M17" s="132"/>
      <c r="N17" s="351">
        <v>185.38</v>
      </c>
      <c r="P17" s="59"/>
    </row>
    <row r="18" spans="1:17" x14ac:dyDescent="0.2">
      <c r="A18" s="12">
        <v>5213</v>
      </c>
      <c r="B18" s="69" t="s">
        <v>188</v>
      </c>
      <c r="C18" s="140">
        <v>10256.49</v>
      </c>
      <c r="D18" s="14">
        <v>12343.26</v>
      </c>
      <c r="E18" s="14">
        <v>11693.15</v>
      </c>
      <c r="F18" s="14">
        <v>7640.51</v>
      </c>
      <c r="G18" s="14">
        <v>5614.06</v>
      </c>
      <c r="H18" s="14">
        <v>7122.89</v>
      </c>
      <c r="I18" s="156">
        <v>9577.5300000000007</v>
      </c>
      <c r="J18" s="132">
        <v>11500</v>
      </c>
      <c r="K18" s="14">
        <v>2585.92</v>
      </c>
      <c r="L18" s="132">
        <v>10700</v>
      </c>
      <c r="M18" s="132"/>
      <c r="P18" s="59"/>
    </row>
    <row r="19" spans="1:17" x14ac:dyDescent="0.2">
      <c r="A19" s="12">
        <v>5231</v>
      </c>
      <c r="B19" s="13" t="s">
        <v>189</v>
      </c>
      <c r="C19" s="14">
        <v>138</v>
      </c>
      <c r="D19" s="14">
        <v>135</v>
      </c>
      <c r="E19" s="14">
        <v>145.6</v>
      </c>
      <c r="F19" s="14">
        <v>139.19999999999999</v>
      </c>
      <c r="G19" s="14">
        <v>135.6</v>
      </c>
      <c r="H19" s="14">
        <v>133.19999999999999</v>
      </c>
      <c r="I19" s="156">
        <v>135.6</v>
      </c>
      <c r="J19" s="132">
        <v>150</v>
      </c>
      <c r="K19" s="14"/>
      <c r="L19" s="132">
        <v>150</v>
      </c>
      <c r="M19" s="132"/>
      <c r="P19" s="101"/>
    </row>
    <row r="20" spans="1:17" x14ac:dyDescent="0.2">
      <c r="A20" s="12">
        <v>5232</v>
      </c>
      <c r="B20" s="13" t="s">
        <v>190</v>
      </c>
      <c r="C20" s="14">
        <v>252</v>
      </c>
      <c r="D20" s="14">
        <v>246.16</v>
      </c>
      <c r="E20" s="14">
        <v>233.72</v>
      </c>
      <c r="F20" s="14">
        <v>277.2</v>
      </c>
      <c r="G20" s="14">
        <v>280</v>
      </c>
      <c r="H20" s="14">
        <v>204.48</v>
      </c>
      <c r="I20" s="156">
        <v>322.08</v>
      </c>
      <c r="J20" s="132">
        <v>300</v>
      </c>
      <c r="K20" s="14">
        <v>176.32</v>
      </c>
      <c r="L20" s="132">
        <v>350</v>
      </c>
      <c r="M20" s="132"/>
      <c r="P20" s="101"/>
    </row>
    <row r="21" spans="1:17" x14ac:dyDescent="0.2">
      <c r="A21" s="12">
        <v>5242</v>
      </c>
      <c r="B21" s="13" t="s">
        <v>1268</v>
      </c>
      <c r="C21" s="14"/>
      <c r="D21" s="14"/>
      <c r="E21" s="14"/>
      <c r="F21" s="14"/>
      <c r="G21" s="14"/>
      <c r="H21" s="14"/>
      <c r="I21" s="156"/>
      <c r="J21" s="132">
        <v>715</v>
      </c>
      <c r="K21" s="14">
        <v>204</v>
      </c>
      <c r="L21" s="132">
        <v>715</v>
      </c>
      <c r="M21" s="132"/>
      <c r="P21" s="101"/>
    </row>
    <row r="22" spans="1:17" x14ac:dyDescent="0.2">
      <c r="A22" s="12">
        <v>5247</v>
      </c>
      <c r="B22" s="13" t="s">
        <v>1124</v>
      </c>
      <c r="C22" s="14">
        <v>11095</v>
      </c>
      <c r="D22" s="14">
        <v>12472</v>
      </c>
      <c r="E22" s="14">
        <v>11895.93</v>
      </c>
      <c r="F22" s="14">
        <v>11092.95</v>
      </c>
      <c r="G22" s="14">
        <v>12025</v>
      </c>
      <c r="H22" s="14">
        <v>14542</v>
      </c>
      <c r="I22" s="156">
        <v>15438.4</v>
      </c>
      <c r="J22" s="132">
        <v>15000</v>
      </c>
      <c r="K22" s="14">
        <v>14834</v>
      </c>
      <c r="L22" s="132">
        <v>15500</v>
      </c>
      <c r="M22" s="132"/>
      <c r="P22" s="101"/>
    </row>
    <row r="23" spans="1:17" x14ac:dyDescent="0.2">
      <c r="A23" s="12">
        <v>5248</v>
      </c>
      <c r="B23" s="13" t="s">
        <v>133</v>
      </c>
      <c r="C23" s="14"/>
      <c r="D23" s="14">
        <v>455.76</v>
      </c>
      <c r="E23" s="14"/>
      <c r="F23" s="14">
        <v>333.32</v>
      </c>
      <c r="G23" s="14">
        <v>703</v>
      </c>
      <c r="H23" s="14">
        <v>545</v>
      </c>
      <c r="I23" s="156">
        <v>917.23</v>
      </c>
      <c r="J23" s="132">
        <v>700</v>
      </c>
      <c r="K23" s="14"/>
      <c r="L23" s="132">
        <v>700</v>
      </c>
      <c r="M23" s="132"/>
      <c r="P23" s="101"/>
    </row>
    <row r="24" spans="1:17" hidden="1" x14ac:dyDescent="0.2">
      <c r="A24" s="12">
        <v>5341</v>
      </c>
      <c r="B24" s="13" t="s">
        <v>136</v>
      </c>
      <c r="C24" s="14">
        <v>1126.05</v>
      </c>
      <c r="D24" s="14">
        <v>1122.06</v>
      </c>
      <c r="E24" s="14">
        <v>1125.47</v>
      </c>
      <c r="F24" s="14">
        <v>1252.81</v>
      </c>
      <c r="G24" s="14">
        <v>1280.8599999999999</v>
      </c>
      <c r="H24" s="14"/>
      <c r="I24" s="156"/>
      <c r="J24" s="132"/>
      <c r="K24" s="14"/>
      <c r="L24" s="132"/>
      <c r="M24" s="132"/>
      <c r="P24" s="208"/>
      <c r="Q24" s="59"/>
    </row>
    <row r="25" spans="1:17" x14ac:dyDescent="0.2">
      <c r="A25" s="12">
        <v>5344</v>
      </c>
      <c r="B25" s="13" t="s">
        <v>137</v>
      </c>
      <c r="C25" s="14">
        <v>179.19</v>
      </c>
      <c r="D25" s="14">
        <v>88.46</v>
      </c>
      <c r="E25" s="14">
        <v>176.99</v>
      </c>
      <c r="F25" s="14">
        <v>179.51</v>
      </c>
      <c r="G25" s="14">
        <v>213.48</v>
      </c>
      <c r="H25" s="14">
        <v>184.31</v>
      </c>
      <c r="I25" s="156">
        <v>216.19</v>
      </c>
      <c r="J25" s="132">
        <v>200</v>
      </c>
      <c r="K25" s="14">
        <v>35.630000000000003</v>
      </c>
      <c r="L25" s="132">
        <v>200</v>
      </c>
      <c r="M25" s="132"/>
      <c r="P25" s="208"/>
      <c r="Q25" s="59"/>
    </row>
    <row r="26" spans="1:17" x14ac:dyDescent="0.2">
      <c r="A26" s="12">
        <v>5345</v>
      </c>
      <c r="B26" s="13" t="s">
        <v>138</v>
      </c>
      <c r="C26" s="14">
        <v>122.62</v>
      </c>
      <c r="D26" s="14">
        <v>321.16000000000003</v>
      </c>
      <c r="E26" s="14"/>
      <c r="F26" s="14">
        <v>138.38</v>
      </c>
      <c r="G26" s="14">
        <v>50</v>
      </c>
      <c r="H26" s="14">
        <v>234.93</v>
      </c>
      <c r="I26" s="156">
        <v>256.62</v>
      </c>
      <c r="J26" s="132">
        <v>200</v>
      </c>
      <c r="K26" s="14"/>
      <c r="L26" s="132">
        <v>200</v>
      </c>
      <c r="M26" s="132"/>
      <c r="P26" s="208"/>
      <c r="Q26" s="59"/>
    </row>
    <row r="27" spans="1:17" x14ac:dyDescent="0.2">
      <c r="A27" s="12">
        <v>5350</v>
      </c>
      <c r="B27" s="13" t="s">
        <v>218</v>
      </c>
      <c r="C27" s="109">
        <v>1000</v>
      </c>
      <c r="D27" s="109">
        <v>6050</v>
      </c>
      <c r="E27" s="109">
        <v>5055</v>
      </c>
      <c r="F27" s="109">
        <v>5650</v>
      </c>
      <c r="G27" s="109">
        <v>5290</v>
      </c>
      <c r="H27" s="14">
        <v>6025</v>
      </c>
      <c r="I27" s="342">
        <v>6815</v>
      </c>
      <c r="J27" s="265">
        <v>5500</v>
      </c>
      <c r="K27" s="109">
        <v>3315</v>
      </c>
      <c r="L27" s="265">
        <v>6000</v>
      </c>
      <c r="M27" s="132"/>
      <c r="P27" s="59"/>
      <c r="Q27" s="59"/>
    </row>
    <row r="28" spans="1:17" x14ac:dyDescent="0.2">
      <c r="A28" s="12">
        <v>5360</v>
      </c>
      <c r="B28" s="13" t="s">
        <v>1122</v>
      </c>
      <c r="C28" s="109"/>
      <c r="D28" s="109"/>
      <c r="E28" s="109"/>
      <c r="F28" s="109"/>
      <c r="G28" s="109"/>
      <c r="H28" s="109"/>
      <c r="I28" s="342">
        <v>1650</v>
      </c>
      <c r="J28" s="265">
        <v>1775</v>
      </c>
      <c r="K28" s="109">
        <v>275</v>
      </c>
      <c r="L28" s="265">
        <v>1775</v>
      </c>
      <c r="M28" s="132"/>
      <c r="P28" s="59"/>
      <c r="Q28" s="59"/>
    </row>
    <row r="29" spans="1:17" x14ac:dyDescent="0.2">
      <c r="A29" s="12">
        <v>5380</v>
      </c>
      <c r="B29" s="13" t="s">
        <v>219</v>
      </c>
      <c r="C29" s="14">
        <v>100</v>
      </c>
      <c r="D29" s="14">
        <v>106</v>
      </c>
      <c r="E29" s="14">
        <v>112</v>
      </c>
      <c r="F29" s="14">
        <v>114</v>
      </c>
      <c r="G29" s="14">
        <v>110</v>
      </c>
      <c r="H29" s="14">
        <v>116</v>
      </c>
      <c r="I29" s="156">
        <v>116</v>
      </c>
      <c r="J29" s="132">
        <v>116</v>
      </c>
      <c r="K29" s="14">
        <v>60</v>
      </c>
      <c r="L29" s="132">
        <v>116</v>
      </c>
      <c r="M29" s="132"/>
      <c r="P29" s="101"/>
    </row>
    <row r="30" spans="1:17" x14ac:dyDescent="0.2">
      <c r="A30" s="12">
        <v>5420</v>
      </c>
      <c r="B30" s="13" t="s">
        <v>139</v>
      </c>
      <c r="C30" s="19">
        <v>3279.66</v>
      </c>
      <c r="D30" s="19">
        <v>6687.37</v>
      </c>
      <c r="E30" s="19">
        <v>3415.71</v>
      </c>
      <c r="F30" s="19">
        <v>5197</v>
      </c>
      <c r="G30" s="19">
        <v>5791.64</v>
      </c>
      <c r="H30" s="19">
        <v>5671.04</v>
      </c>
      <c r="I30" s="136">
        <v>9037.44</v>
      </c>
      <c r="J30" s="134">
        <v>5800</v>
      </c>
      <c r="K30" s="19">
        <v>3378.08</v>
      </c>
      <c r="L30" s="134">
        <v>6000</v>
      </c>
      <c r="M30" s="134"/>
    </row>
    <row r="31" spans="1:17" x14ac:dyDescent="0.2">
      <c r="A31" s="12">
        <v>5580</v>
      </c>
      <c r="B31" s="13" t="s">
        <v>140</v>
      </c>
      <c r="C31" s="14">
        <v>1205.0999999999999</v>
      </c>
      <c r="D31" s="14">
        <v>1212.29</v>
      </c>
      <c r="E31" s="14">
        <v>1200</v>
      </c>
      <c r="F31" s="14">
        <v>1396.61</v>
      </c>
      <c r="G31" s="14">
        <v>1434.13</v>
      </c>
      <c r="H31" s="14">
        <v>1706.55</v>
      </c>
      <c r="I31" s="156">
        <v>2931.51</v>
      </c>
      <c r="J31" s="132">
        <v>1400</v>
      </c>
      <c r="K31" s="14">
        <v>781.78</v>
      </c>
      <c r="L31" s="132">
        <v>1600</v>
      </c>
      <c r="M31" s="132"/>
    </row>
    <row r="32" spans="1:17" x14ac:dyDescent="0.2">
      <c r="A32" s="12">
        <v>5581</v>
      </c>
      <c r="B32" s="13" t="s">
        <v>141</v>
      </c>
      <c r="C32" s="14">
        <v>31287.93</v>
      </c>
      <c r="D32" s="14">
        <v>35475.230000000003</v>
      </c>
      <c r="E32" s="14">
        <v>37931.71</v>
      </c>
      <c r="F32" s="14">
        <v>39707.629999999997</v>
      </c>
      <c r="G32" s="14">
        <v>47074.11</v>
      </c>
      <c r="H32" s="14">
        <v>50317.24</v>
      </c>
      <c r="I32" s="156">
        <v>54607.29</v>
      </c>
      <c r="J32" s="132">
        <v>45400</v>
      </c>
      <c r="K32" s="14">
        <v>28622.080000000002</v>
      </c>
      <c r="L32" s="132">
        <v>48800</v>
      </c>
      <c r="M32" s="132"/>
    </row>
    <row r="33" spans="1:16" x14ac:dyDescent="0.2">
      <c r="A33" s="12">
        <v>5587</v>
      </c>
      <c r="B33" s="13" t="s">
        <v>220</v>
      </c>
      <c r="C33" s="14">
        <v>26171.85</v>
      </c>
      <c r="D33" s="14">
        <v>26921.83</v>
      </c>
      <c r="E33" s="14">
        <v>29068.29</v>
      </c>
      <c r="F33" s="14">
        <v>33945.919999999998</v>
      </c>
      <c r="G33" s="14">
        <v>31235.09</v>
      </c>
      <c r="H33" s="14">
        <v>32881.35</v>
      </c>
      <c r="I33" s="156">
        <v>35090.83</v>
      </c>
      <c r="J33" s="132">
        <v>37800</v>
      </c>
      <c r="K33" s="14">
        <v>15809.8</v>
      </c>
      <c r="L33" s="132">
        <v>37800</v>
      </c>
      <c r="M33" s="132"/>
    </row>
    <row r="34" spans="1:16" x14ac:dyDescent="0.2">
      <c r="A34" s="12">
        <v>5590</v>
      </c>
      <c r="B34" s="28" t="s">
        <v>555</v>
      </c>
      <c r="C34" s="14">
        <v>839.2</v>
      </c>
      <c r="D34" s="14">
        <v>424.94</v>
      </c>
      <c r="E34" s="14">
        <v>64.989999999999995</v>
      </c>
      <c r="F34" s="14">
        <v>837.33</v>
      </c>
      <c r="G34" s="14"/>
      <c r="H34" s="14">
        <v>762.11</v>
      </c>
      <c r="I34" s="156">
        <v>2266.85</v>
      </c>
      <c r="J34" s="132">
        <v>1000</v>
      </c>
      <c r="K34" s="14">
        <v>38.69</v>
      </c>
      <c r="L34" s="132">
        <v>1000</v>
      </c>
      <c r="M34" s="132"/>
    </row>
    <row r="35" spans="1:16" x14ac:dyDescent="0.2">
      <c r="A35" s="12">
        <v>5710</v>
      </c>
      <c r="B35" s="13" t="s">
        <v>529</v>
      </c>
      <c r="C35" s="19">
        <v>1628.73</v>
      </c>
      <c r="D35" s="19">
        <v>1042.58</v>
      </c>
      <c r="E35" s="19">
        <v>790.05</v>
      </c>
      <c r="F35" s="19">
        <v>1440.67</v>
      </c>
      <c r="G35" s="19">
        <v>1047.8499999999999</v>
      </c>
      <c r="H35" s="19">
        <v>1446.34</v>
      </c>
      <c r="I35" s="136">
        <v>1229.06</v>
      </c>
      <c r="J35" s="134">
        <v>1400</v>
      </c>
      <c r="K35" s="19">
        <v>269.99</v>
      </c>
      <c r="L35" s="134">
        <v>1400</v>
      </c>
      <c r="M35" s="134"/>
    </row>
    <row r="36" spans="1:16" ht="13.5" thickBot="1" x14ac:dyDescent="0.25">
      <c r="A36" s="12">
        <v>5730</v>
      </c>
      <c r="B36" s="13" t="s">
        <v>142</v>
      </c>
      <c r="C36" s="16"/>
      <c r="D36" s="16">
        <v>40</v>
      </c>
      <c r="E36" s="16"/>
      <c r="F36" s="16">
        <v>100</v>
      </c>
      <c r="G36" s="16">
        <v>104</v>
      </c>
      <c r="H36" s="16"/>
      <c r="I36" s="349"/>
      <c r="J36" s="133">
        <v>100</v>
      </c>
      <c r="K36" s="16"/>
      <c r="L36" s="133">
        <v>100</v>
      </c>
      <c r="M36" s="133"/>
    </row>
    <row r="37" spans="1:16" x14ac:dyDescent="0.2">
      <c r="A37" s="12"/>
      <c r="B37" s="18" t="s">
        <v>442</v>
      </c>
      <c r="C37" s="14">
        <f t="shared" ref="C37:M37" si="1">SUM(C17:C36)</f>
        <v>95210.00999999998</v>
      </c>
      <c r="D37" s="14">
        <f t="shared" si="1"/>
        <v>112382.71000000002</v>
      </c>
      <c r="E37" s="14">
        <f t="shared" si="1"/>
        <v>109409.83000000002</v>
      </c>
      <c r="F37" s="19">
        <f t="shared" si="1"/>
        <v>116659.46</v>
      </c>
      <c r="G37" s="19">
        <f t="shared" si="1"/>
        <v>119185.88</v>
      </c>
      <c r="H37" s="19">
        <f t="shared" si="1"/>
        <v>129012.81000000001</v>
      </c>
      <c r="I37" s="19">
        <f t="shared" si="1"/>
        <v>148354.71000000002</v>
      </c>
      <c r="J37" s="134">
        <f>SUM(J17:J36)</f>
        <v>136256</v>
      </c>
      <c r="K37" s="14">
        <f t="shared" si="1"/>
        <v>73889.000000000015</v>
      </c>
      <c r="L37" s="134">
        <f>SUM(L17:L36)</f>
        <v>141106</v>
      </c>
      <c r="M37" s="134">
        <f t="shared" si="1"/>
        <v>0</v>
      </c>
    </row>
    <row r="38" spans="1:16" x14ac:dyDescent="0.2">
      <c r="A38" s="12"/>
      <c r="B38" s="18"/>
      <c r="C38" s="14"/>
      <c r="D38" s="14"/>
      <c r="E38" s="14"/>
      <c r="F38" s="14"/>
      <c r="G38" s="14"/>
      <c r="H38" s="14"/>
      <c r="I38" s="14"/>
      <c r="J38" s="15"/>
      <c r="K38" s="14"/>
      <c r="L38" s="15"/>
      <c r="M38" s="15"/>
    </row>
    <row r="39" spans="1:16" ht="13.5" hidden="1" thickBot="1" x14ac:dyDescent="0.25">
      <c r="A39" s="125">
        <v>5800</v>
      </c>
      <c r="B39" s="69" t="s">
        <v>272</v>
      </c>
      <c r="C39" s="16"/>
      <c r="D39" s="16"/>
      <c r="E39" s="16"/>
      <c r="F39" s="16"/>
      <c r="G39" s="16"/>
      <c r="H39" s="16"/>
      <c r="I39" s="16"/>
      <c r="J39" s="45"/>
      <c r="K39" s="17"/>
      <c r="L39" s="45"/>
      <c r="M39" s="45"/>
    </row>
    <row r="40" spans="1:16" hidden="1" x14ac:dyDescent="0.2">
      <c r="A40" s="125"/>
      <c r="B40" s="126" t="s">
        <v>131</v>
      </c>
      <c r="C40" s="32">
        <f t="shared" ref="C40:K40" si="2">+C39</f>
        <v>0</v>
      </c>
      <c r="D40" s="32">
        <f t="shared" si="2"/>
        <v>0</v>
      </c>
      <c r="E40" s="32">
        <f>+E39</f>
        <v>0</v>
      </c>
      <c r="F40" s="32"/>
      <c r="G40" s="32"/>
      <c r="H40" s="32"/>
      <c r="I40" s="32">
        <f>+I39</f>
        <v>0</v>
      </c>
      <c r="J40" s="33">
        <f>+J39</f>
        <v>0</v>
      </c>
      <c r="K40" s="32">
        <f t="shared" si="2"/>
        <v>0</v>
      </c>
      <c r="L40" s="33">
        <f>+L39</f>
        <v>0</v>
      </c>
      <c r="M40" s="33">
        <f>+M39</f>
        <v>0</v>
      </c>
    </row>
    <row r="41" spans="1:16" hidden="1" x14ac:dyDescent="0.2">
      <c r="A41" s="125"/>
      <c r="B41" s="126"/>
      <c r="C41" s="39"/>
      <c r="D41" s="39"/>
      <c r="E41" s="39"/>
      <c r="F41" s="39"/>
      <c r="G41" s="39"/>
      <c r="H41" s="39"/>
      <c r="I41" s="39"/>
      <c r="J41" s="40"/>
      <c r="K41" s="39"/>
      <c r="L41" s="40"/>
      <c r="M41" s="40"/>
    </row>
    <row r="42" spans="1:16" ht="13.5" thickBot="1" x14ac:dyDescent="0.25">
      <c r="A42" s="21"/>
      <c r="B42" s="22" t="s">
        <v>311</v>
      </c>
      <c r="C42" s="23">
        <f>+C37+C15+C40</f>
        <v>303901</v>
      </c>
      <c r="D42" s="23">
        <f>+D37+D15+D40</f>
        <v>325233</v>
      </c>
      <c r="E42" s="23">
        <f>+E37+E15+E40</f>
        <v>337643</v>
      </c>
      <c r="F42" s="23">
        <f>+F37+F15</f>
        <v>351149.00000000006</v>
      </c>
      <c r="G42" s="23">
        <f>+G37+G15</f>
        <v>364970</v>
      </c>
      <c r="H42" s="23">
        <f>+H37+H15</f>
        <v>386328.00000000006</v>
      </c>
      <c r="I42" s="23">
        <f>+I37+I15+I40</f>
        <v>401962</v>
      </c>
      <c r="J42" s="43">
        <f>+J37+J15+J40</f>
        <v>411071</v>
      </c>
      <c r="K42" s="23">
        <f>+K37+K15+K40</f>
        <v>84889.000000000015</v>
      </c>
      <c r="L42" s="43">
        <f>+L37+L15+L40</f>
        <v>426950</v>
      </c>
      <c r="M42" s="43">
        <f>+L42</f>
        <v>426950</v>
      </c>
    </row>
    <row r="43" spans="1:16" ht="13.5" thickTop="1" x14ac:dyDescent="0.2">
      <c r="A43" s="28"/>
      <c r="B43" s="90"/>
      <c r="C43" s="26"/>
      <c r="D43" s="26"/>
      <c r="E43" s="26"/>
      <c r="F43" s="26"/>
      <c r="G43" s="26"/>
      <c r="H43" s="26"/>
      <c r="I43" s="222"/>
      <c r="J43" s="222"/>
      <c r="K43" s="26"/>
      <c r="L43" s="222"/>
      <c r="M43" s="222"/>
    </row>
    <row r="44" spans="1:16" ht="15.75" x14ac:dyDescent="0.25">
      <c r="A44" s="72"/>
      <c r="B44" s="4"/>
      <c r="C44" s="25"/>
      <c r="D44" s="25"/>
      <c r="E44" s="25"/>
      <c r="F44" s="25"/>
      <c r="G44" s="25"/>
      <c r="H44" s="25"/>
      <c r="I44" s="25"/>
      <c r="J44" s="25"/>
      <c r="K44" s="29"/>
      <c r="L44" s="25"/>
      <c r="M44" s="25"/>
      <c r="N44" s="29"/>
      <c r="O44" s="214"/>
      <c r="P44" s="29"/>
    </row>
    <row r="45" spans="1:16" x14ac:dyDescent="0.2">
      <c r="A45" s="72"/>
      <c r="B45" s="4"/>
      <c r="C45" s="25"/>
      <c r="D45" s="25"/>
      <c r="E45" s="25"/>
      <c r="F45" s="25"/>
      <c r="G45" s="25"/>
      <c r="H45" s="25"/>
      <c r="I45" s="25"/>
      <c r="J45" s="25"/>
      <c r="K45" s="29"/>
      <c r="L45" s="25"/>
      <c r="M45" s="29"/>
      <c r="N45" s="29"/>
      <c r="O45" s="29"/>
      <c r="P45" s="29"/>
    </row>
    <row r="46" spans="1:16" x14ac:dyDescent="0.2">
      <c r="A46" s="4" t="s">
        <v>521</v>
      </c>
      <c r="B46" s="4"/>
    </row>
    <row r="47" spans="1:16" x14ac:dyDescent="0.2">
      <c r="A47" s="72"/>
      <c r="B47" s="4"/>
    </row>
    <row r="48" spans="1:16" ht="13.5" thickBot="1" x14ac:dyDescent="0.25">
      <c r="A48" s="4"/>
      <c r="B48" s="4"/>
    </row>
    <row r="49" spans="1:16" ht="13.5" thickTop="1" x14ac:dyDescent="0.2">
      <c r="A49" s="162" t="s">
        <v>883</v>
      </c>
      <c r="B49" s="114"/>
      <c r="H49" s="346" t="s">
        <v>84</v>
      </c>
      <c r="I49" s="169" t="s">
        <v>33</v>
      </c>
      <c r="J49" s="182" t="s">
        <v>576</v>
      </c>
      <c r="K49" s="171" t="s">
        <v>578</v>
      </c>
      <c r="L49"/>
      <c r="M49" s="220" t="s">
        <v>336</v>
      </c>
    </row>
    <row r="50" spans="1:16" ht="13.5" thickBot="1" x14ac:dyDescent="0.25">
      <c r="A50" s="392" t="s">
        <v>884</v>
      </c>
      <c r="B50" s="116" t="s">
        <v>522</v>
      </c>
      <c r="H50" s="377">
        <v>43647</v>
      </c>
      <c r="I50" s="172" t="s">
        <v>575</v>
      </c>
      <c r="J50" s="173" t="s">
        <v>34</v>
      </c>
      <c r="K50" s="173" t="s">
        <v>101</v>
      </c>
      <c r="L50" s="246" t="s">
        <v>335</v>
      </c>
      <c r="M50" s="246" t="s">
        <v>900</v>
      </c>
      <c r="N50" s="246" t="s">
        <v>337</v>
      </c>
    </row>
    <row r="51" spans="1:16" ht="13.5" thickTop="1" x14ac:dyDescent="0.2">
      <c r="A51" s="185">
        <v>35520</v>
      </c>
      <c r="B51" s="325" t="s">
        <v>383</v>
      </c>
      <c r="H51" s="19" t="s">
        <v>1225</v>
      </c>
      <c r="I51" s="19"/>
      <c r="J51" s="183"/>
      <c r="K51" s="316">
        <f>+'NAGE &amp; Non-Union Wages'!J10</f>
        <v>71748</v>
      </c>
      <c r="L51" s="185">
        <v>35520</v>
      </c>
      <c r="M51" s="2"/>
    </row>
    <row r="52" spans="1:16" x14ac:dyDescent="0.2">
      <c r="A52" s="185">
        <v>41722</v>
      </c>
      <c r="B52" s="250" t="s">
        <v>1708</v>
      </c>
      <c r="H52" s="156" t="s">
        <v>1070</v>
      </c>
      <c r="I52" s="14">
        <f>+'NAGE &amp; Non-Union Wages'!I8</f>
        <v>26.28</v>
      </c>
      <c r="J52" s="132">
        <v>1827</v>
      </c>
      <c r="K52" s="359">
        <f t="shared" ref="K52:K61" si="3">ROUND((+J52*I52),2)</f>
        <v>48013.56</v>
      </c>
      <c r="L52" s="185">
        <v>41722</v>
      </c>
      <c r="M52" s="2">
        <v>7</v>
      </c>
      <c r="N52">
        <v>300</v>
      </c>
    </row>
    <row r="53" spans="1:16" x14ac:dyDescent="0.2">
      <c r="A53" s="185"/>
      <c r="B53" s="250" t="s">
        <v>1349</v>
      </c>
      <c r="H53" s="156"/>
      <c r="I53" s="14"/>
      <c r="J53" s="132"/>
      <c r="K53" s="359">
        <v>3500</v>
      </c>
      <c r="L53" s="185"/>
      <c r="M53" s="2"/>
    </row>
    <row r="54" spans="1:16" x14ac:dyDescent="0.2">
      <c r="A54" s="185">
        <v>41849</v>
      </c>
      <c r="B54" s="69" t="s">
        <v>648</v>
      </c>
      <c r="H54" s="14" t="s">
        <v>1343</v>
      </c>
      <c r="I54" s="167">
        <f>+'NAGE &amp; Non-Union Wages'!F5</f>
        <v>19.37</v>
      </c>
      <c r="J54" s="132">
        <v>1827</v>
      </c>
      <c r="K54" s="359">
        <f t="shared" si="3"/>
        <v>35388.99</v>
      </c>
      <c r="L54" s="185">
        <v>41849</v>
      </c>
      <c r="M54" s="2">
        <v>6</v>
      </c>
      <c r="N54" s="247">
        <v>300</v>
      </c>
    </row>
    <row r="55" spans="1:16" x14ac:dyDescent="0.2">
      <c r="A55" s="185">
        <v>43144</v>
      </c>
      <c r="B55" s="250" t="s">
        <v>1709</v>
      </c>
      <c r="H55" s="14" t="s">
        <v>1230</v>
      </c>
      <c r="I55" s="14">
        <f>+'NAGE &amp; Non-Union Wages'!E4</f>
        <v>16.05</v>
      </c>
      <c r="J55" s="132">
        <v>637</v>
      </c>
      <c r="K55" s="359">
        <f t="shared" si="3"/>
        <v>10223.85</v>
      </c>
      <c r="L55" s="185">
        <v>43144</v>
      </c>
      <c r="M55" s="2">
        <v>3</v>
      </c>
    </row>
    <row r="56" spans="1:16" x14ac:dyDescent="0.2">
      <c r="A56" s="185">
        <v>43353</v>
      </c>
      <c r="B56" s="250" t="s">
        <v>652</v>
      </c>
      <c r="H56" s="14" t="s">
        <v>1069</v>
      </c>
      <c r="I56" s="14">
        <f>+'NAGE &amp; Non-Union Wages'!D4</f>
        <v>15.63</v>
      </c>
      <c r="J56" s="132">
        <v>1463</v>
      </c>
      <c r="K56" s="359">
        <f t="shared" si="3"/>
        <v>22866.69</v>
      </c>
      <c r="L56" s="185">
        <v>43353</v>
      </c>
      <c r="M56" s="2">
        <v>2</v>
      </c>
    </row>
    <row r="57" spans="1:16" x14ac:dyDescent="0.2">
      <c r="A57" s="185">
        <v>39335</v>
      </c>
      <c r="B57" s="69" t="s">
        <v>652</v>
      </c>
      <c r="H57" s="14" t="s">
        <v>1347</v>
      </c>
      <c r="I57" s="14">
        <f>+'NAGE &amp; Non-Union Wages'!K4</f>
        <v>18.32</v>
      </c>
      <c r="J57" s="132">
        <v>730</v>
      </c>
      <c r="K57" s="359">
        <f t="shared" si="3"/>
        <v>13373.6</v>
      </c>
      <c r="L57" s="185">
        <v>39335</v>
      </c>
      <c r="M57" s="2">
        <v>13</v>
      </c>
      <c r="N57">
        <v>500</v>
      </c>
    </row>
    <row r="58" spans="1:16" x14ac:dyDescent="0.2">
      <c r="A58" s="185">
        <v>43221</v>
      </c>
      <c r="B58" s="250" t="s">
        <v>652</v>
      </c>
      <c r="H58" s="166" t="s">
        <v>1230</v>
      </c>
      <c r="I58" s="167">
        <f>+'NAGE &amp; Non-Union Wages'!E4</f>
        <v>16.05</v>
      </c>
      <c r="J58" s="132">
        <v>1370</v>
      </c>
      <c r="K58" s="359">
        <f t="shared" si="3"/>
        <v>21988.5</v>
      </c>
      <c r="L58" s="185">
        <v>43221</v>
      </c>
      <c r="M58" s="2">
        <v>3</v>
      </c>
    </row>
    <row r="59" spans="1:16" x14ac:dyDescent="0.2">
      <c r="A59" s="185">
        <v>39332</v>
      </c>
      <c r="B59" s="69" t="s">
        <v>652</v>
      </c>
      <c r="H59" s="14" t="s">
        <v>1347</v>
      </c>
      <c r="I59" s="167">
        <f>+'NAGE &amp; Non-Union Wages'!K4</f>
        <v>18.32</v>
      </c>
      <c r="J59" s="132">
        <v>846</v>
      </c>
      <c r="K59" s="359">
        <f t="shared" si="3"/>
        <v>15498.72</v>
      </c>
      <c r="L59" s="185">
        <v>39332</v>
      </c>
      <c r="M59" s="2">
        <v>13</v>
      </c>
      <c r="N59">
        <v>500</v>
      </c>
    </row>
    <row r="60" spans="1:16" x14ac:dyDescent="0.2">
      <c r="A60" s="185">
        <v>42514</v>
      </c>
      <c r="B60" s="69" t="s">
        <v>1710</v>
      </c>
      <c r="H60" s="14" t="s">
        <v>1343</v>
      </c>
      <c r="I60" s="14">
        <f>+'NAGE &amp; Non-Union Wages'!F5</f>
        <v>19.37</v>
      </c>
      <c r="J60" s="132">
        <v>679</v>
      </c>
      <c r="K60" s="359">
        <f t="shared" si="3"/>
        <v>13152.23</v>
      </c>
      <c r="L60" s="185">
        <v>42514</v>
      </c>
      <c r="M60" s="2">
        <v>5</v>
      </c>
      <c r="N60" s="2">
        <v>300</v>
      </c>
    </row>
    <row r="61" spans="1:16" x14ac:dyDescent="0.2">
      <c r="A61" s="185">
        <v>41729</v>
      </c>
      <c r="B61" s="250" t="s">
        <v>1711</v>
      </c>
      <c r="H61" s="14" t="s">
        <v>1348</v>
      </c>
      <c r="I61" s="14">
        <f>+'NAGE &amp; Non-Union Wages'!I4</f>
        <v>17.600000000000001</v>
      </c>
      <c r="J61" s="132">
        <v>1542</v>
      </c>
      <c r="K61" s="359">
        <f t="shared" si="3"/>
        <v>27139.200000000001</v>
      </c>
      <c r="L61" s="185">
        <v>41729</v>
      </c>
      <c r="M61" s="2">
        <v>7</v>
      </c>
      <c r="N61">
        <v>300</v>
      </c>
    </row>
    <row r="62" spans="1:16" x14ac:dyDescent="0.2">
      <c r="A62" s="102"/>
      <c r="B62" s="4"/>
      <c r="C62" s="25"/>
      <c r="D62" s="25"/>
      <c r="E62" s="25"/>
      <c r="H62" s="25"/>
      <c r="I62" s="25"/>
      <c r="J62" s="29"/>
      <c r="K62" s="29"/>
      <c r="L62" s="29"/>
      <c r="M62" s="2" t="s">
        <v>431</v>
      </c>
      <c r="N62">
        <f>SUM(N51:N61)</f>
        <v>2200</v>
      </c>
    </row>
    <row r="63" spans="1:16" x14ac:dyDescent="0.2">
      <c r="A63" s="101"/>
      <c r="B63" s="148"/>
      <c r="C63" s="348"/>
      <c r="D63" s="237"/>
      <c r="E63" s="237"/>
      <c r="H63" s="237"/>
      <c r="I63" s="237"/>
      <c r="J63" s="144"/>
      <c r="K63" s="181">
        <f>SUM(K51:K62)</f>
        <v>282893.34000000003</v>
      </c>
      <c r="L63" s="4"/>
      <c r="M63" s="2"/>
    </row>
    <row r="64" spans="1:16" ht="13.5" thickBot="1" x14ac:dyDescent="0.25">
      <c r="A64" s="4"/>
      <c r="B64" s="4"/>
      <c r="C64" s="25"/>
      <c r="D64" s="25"/>
      <c r="E64" s="25"/>
      <c r="H64" s="25"/>
      <c r="I64" s="25"/>
      <c r="J64" s="25"/>
      <c r="K64" s="4"/>
      <c r="L64" s="25"/>
      <c r="M64" s="25"/>
      <c r="N64" s="4"/>
      <c r="O64" s="4"/>
      <c r="P64" s="4"/>
    </row>
    <row r="65" spans="1:16" ht="13.5" thickTop="1" x14ac:dyDescent="0.2">
      <c r="A65" s="517"/>
      <c r="B65" s="518"/>
      <c r="C65" s="519" t="s">
        <v>122</v>
      </c>
      <c r="D65" s="520" t="s">
        <v>122</v>
      </c>
      <c r="E65" s="520" t="s">
        <v>122</v>
      </c>
      <c r="H65" s="521" t="s">
        <v>542</v>
      </c>
      <c r="I65" s="522" t="s">
        <v>9</v>
      </c>
      <c r="J65" s="523" t="s">
        <v>1073</v>
      </c>
      <c r="K65" s="522" t="s">
        <v>682</v>
      </c>
      <c r="L65" s="524"/>
      <c r="M65" s="523"/>
      <c r="N65" s="4"/>
      <c r="O65" s="4"/>
      <c r="P65" s="4"/>
    </row>
    <row r="66" spans="1:16" ht="13.5" thickBot="1" x14ac:dyDescent="0.25">
      <c r="A66" s="525" t="s">
        <v>123</v>
      </c>
      <c r="B66" s="526"/>
      <c r="C66" s="527" t="s">
        <v>334</v>
      </c>
      <c r="D66" s="527" t="s">
        <v>718</v>
      </c>
      <c r="E66" s="528" t="s">
        <v>734</v>
      </c>
      <c r="H66" s="529" t="s">
        <v>899</v>
      </c>
      <c r="I66" s="529" t="s">
        <v>900</v>
      </c>
      <c r="J66" s="528" t="s">
        <v>1075</v>
      </c>
      <c r="K66" s="530" t="s">
        <v>1075</v>
      </c>
      <c r="L66" s="531" t="s">
        <v>1074</v>
      </c>
      <c r="M66" s="529"/>
      <c r="N66" s="4"/>
      <c r="O66" s="4"/>
      <c r="P66" s="4"/>
    </row>
    <row r="67" spans="1:16" ht="13.5" thickTop="1" x14ac:dyDescent="0.2">
      <c r="A67" s="557"/>
      <c r="B67" s="558"/>
      <c r="C67" s="559"/>
      <c r="D67" s="560"/>
      <c r="E67" s="560"/>
      <c r="H67" s="561"/>
      <c r="I67" s="729"/>
      <c r="J67" s="572">
        <f t="shared" ref="J67:J93" si="4">+I67-H67</f>
        <v>0</v>
      </c>
      <c r="K67" s="545"/>
      <c r="L67" s="538"/>
      <c r="M67" s="539"/>
      <c r="N67" s="4"/>
      <c r="O67" s="4"/>
      <c r="P67" s="4"/>
    </row>
    <row r="68" spans="1:16" x14ac:dyDescent="0.2">
      <c r="A68" s="551">
        <v>5111</v>
      </c>
      <c r="B68" s="577" t="s">
        <v>684</v>
      </c>
      <c r="C68" s="544">
        <v>117196.8</v>
      </c>
      <c r="D68" s="544">
        <v>130066.4</v>
      </c>
      <c r="E68" s="544">
        <v>130758.41</v>
      </c>
      <c r="H68" s="543">
        <f>+J9</f>
        <v>152863</v>
      </c>
      <c r="I68" s="569">
        <f t="shared" ref="I68:I73" si="5">+L9</f>
        <v>158651</v>
      </c>
      <c r="J68" s="572">
        <f t="shared" si="4"/>
        <v>5788</v>
      </c>
      <c r="K68" s="545">
        <f t="shared" ref="K68:K93" si="6">IF(H68+I68&lt;&gt;0,IF(H68&lt;&gt;0,IF(J68&lt;&gt;0,ROUND((+J68/H68),4),""),1),"")</f>
        <v>3.7900000000000003E-2</v>
      </c>
      <c r="L68" s="538" t="s">
        <v>1267</v>
      </c>
      <c r="M68" s="539"/>
      <c r="N68" s="4"/>
      <c r="O68" s="4"/>
      <c r="P68" s="4"/>
    </row>
    <row r="69" spans="1:16" x14ac:dyDescent="0.2">
      <c r="A69" s="551">
        <v>5113</v>
      </c>
      <c r="B69" s="540" t="s">
        <v>685</v>
      </c>
      <c r="C69" s="544">
        <v>90290.59</v>
      </c>
      <c r="D69" s="544">
        <v>72415.990000000005</v>
      </c>
      <c r="E69" s="544">
        <v>96098.85</v>
      </c>
      <c r="H69" s="543">
        <f t="shared" ref="H69:H73" si="7">+J10</f>
        <v>118906</v>
      </c>
      <c r="I69" s="569">
        <f t="shared" si="5"/>
        <v>124243</v>
      </c>
      <c r="J69" s="572">
        <f t="shared" si="4"/>
        <v>5337</v>
      </c>
      <c r="K69" s="545">
        <f t="shared" si="6"/>
        <v>4.4900000000000002E-2</v>
      </c>
      <c r="L69" s="538" t="s">
        <v>1267</v>
      </c>
      <c r="M69" s="539"/>
      <c r="N69" s="4"/>
      <c r="O69" s="4"/>
      <c r="P69" s="4"/>
    </row>
    <row r="70" spans="1:16" x14ac:dyDescent="0.2">
      <c r="A70" s="551">
        <v>5142</v>
      </c>
      <c r="B70" s="540" t="s">
        <v>159</v>
      </c>
      <c r="C70" s="544">
        <v>453.6</v>
      </c>
      <c r="D70" s="544">
        <v>480.12</v>
      </c>
      <c r="E70" s="544">
        <v>475.91</v>
      </c>
      <c r="H70" s="543">
        <f t="shared" si="7"/>
        <v>1146</v>
      </c>
      <c r="I70" s="569">
        <f t="shared" si="5"/>
        <v>750</v>
      </c>
      <c r="J70" s="572">
        <f t="shared" si="4"/>
        <v>-396</v>
      </c>
      <c r="K70" s="545">
        <f t="shared" si="6"/>
        <v>-0.34549999999999997</v>
      </c>
      <c r="L70" s="538" t="s">
        <v>1495</v>
      </c>
      <c r="M70" s="539"/>
      <c r="N70" s="4"/>
      <c r="O70" s="4"/>
      <c r="P70" s="4"/>
    </row>
    <row r="71" spans="1:16" x14ac:dyDescent="0.2">
      <c r="A71" s="551">
        <v>5144</v>
      </c>
      <c r="B71" s="540" t="s">
        <v>152</v>
      </c>
      <c r="C71" s="546">
        <v>750</v>
      </c>
      <c r="D71" s="546">
        <v>900</v>
      </c>
      <c r="E71" s="546">
        <v>900</v>
      </c>
      <c r="H71" s="543">
        <f t="shared" si="7"/>
        <v>1900</v>
      </c>
      <c r="I71" s="569">
        <f t="shared" si="5"/>
        <v>2200</v>
      </c>
      <c r="J71" s="572">
        <f t="shared" si="4"/>
        <v>300</v>
      </c>
      <c r="K71" s="545">
        <f t="shared" si="6"/>
        <v>0.15790000000000001</v>
      </c>
      <c r="L71" s="538" t="s">
        <v>1489</v>
      </c>
      <c r="M71" s="539"/>
      <c r="N71" s="4"/>
      <c r="O71" s="4"/>
      <c r="P71" s="4"/>
    </row>
    <row r="72" spans="1:16" x14ac:dyDescent="0.2">
      <c r="A72" s="551">
        <v>5193</v>
      </c>
      <c r="B72" s="540" t="s">
        <v>695</v>
      </c>
      <c r="C72" s="546"/>
      <c r="D72" s="546">
        <v>6487.78</v>
      </c>
      <c r="E72" s="546"/>
      <c r="H72" s="543">
        <f t="shared" si="7"/>
        <v>0</v>
      </c>
      <c r="I72" s="569">
        <f t="shared" si="5"/>
        <v>0</v>
      </c>
      <c r="J72" s="572">
        <f t="shared" si="4"/>
        <v>0</v>
      </c>
      <c r="K72" s="545" t="str">
        <f t="shared" si="6"/>
        <v/>
      </c>
      <c r="L72" s="538"/>
      <c r="M72" s="539"/>
      <c r="N72" s="4"/>
      <c r="O72" s="4"/>
      <c r="P72" s="4"/>
    </row>
    <row r="73" spans="1:16" ht="13.5" thickBot="1" x14ac:dyDescent="0.25">
      <c r="A73" s="551">
        <v>5194</v>
      </c>
      <c r="B73" s="540" t="s">
        <v>221</v>
      </c>
      <c r="C73" s="542"/>
      <c r="D73" s="542">
        <v>2500</v>
      </c>
      <c r="E73" s="542"/>
      <c r="H73" s="543">
        <f t="shared" si="7"/>
        <v>0</v>
      </c>
      <c r="I73" s="569">
        <f t="shared" si="5"/>
        <v>0</v>
      </c>
      <c r="J73" s="572">
        <f t="shared" si="4"/>
        <v>0</v>
      </c>
      <c r="K73" s="545" t="str">
        <f t="shared" si="6"/>
        <v/>
      </c>
      <c r="L73" s="538"/>
      <c r="M73" s="539"/>
      <c r="N73" s="4"/>
      <c r="O73" s="4"/>
      <c r="P73" s="4"/>
    </row>
    <row r="74" spans="1:16" x14ac:dyDescent="0.2">
      <c r="A74" s="551">
        <v>5211</v>
      </c>
      <c r="B74" s="540" t="s">
        <v>187</v>
      </c>
      <c r="C74" s="544">
        <v>6528.19</v>
      </c>
      <c r="D74" s="544">
        <v>7238.61</v>
      </c>
      <c r="E74" s="544">
        <v>6501.22</v>
      </c>
      <c r="H74" s="537">
        <f>+J17</f>
        <v>7200</v>
      </c>
      <c r="I74" s="569">
        <f t="shared" ref="I74:I93" si="8">+L17</f>
        <v>8000</v>
      </c>
      <c r="J74" s="572">
        <f t="shared" si="4"/>
        <v>800</v>
      </c>
      <c r="K74" s="545">
        <f t="shared" si="6"/>
        <v>0.1111</v>
      </c>
      <c r="L74" s="538" t="s">
        <v>1490</v>
      </c>
      <c r="M74" s="539"/>
      <c r="N74" s="4"/>
      <c r="O74" s="4"/>
      <c r="P74" s="4"/>
    </row>
    <row r="75" spans="1:16" x14ac:dyDescent="0.2">
      <c r="A75" s="551">
        <v>5213</v>
      </c>
      <c r="B75" s="540" t="s">
        <v>188</v>
      </c>
      <c r="C75" s="544">
        <v>10256.49</v>
      </c>
      <c r="D75" s="544">
        <v>12343.26</v>
      </c>
      <c r="E75" s="544">
        <v>11693.15</v>
      </c>
      <c r="H75" s="537">
        <f t="shared" ref="H75:H93" si="9">+J18</f>
        <v>11500</v>
      </c>
      <c r="I75" s="569">
        <f t="shared" si="8"/>
        <v>10700</v>
      </c>
      <c r="J75" s="572">
        <f t="shared" si="4"/>
        <v>-800</v>
      </c>
      <c r="K75" s="545">
        <f t="shared" si="6"/>
        <v>-6.9599999999999995E-2</v>
      </c>
      <c r="L75" s="538" t="s">
        <v>1491</v>
      </c>
      <c r="M75" s="539"/>
      <c r="N75" s="4"/>
      <c r="O75" s="4"/>
      <c r="P75" s="4"/>
    </row>
    <row r="76" spans="1:16" x14ac:dyDescent="0.2">
      <c r="A76" s="551">
        <v>5231</v>
      </c>
      <c r="B76" s="540" t="s">
        <v>189</v>
      </c>
      <c r="C76" s="544">
        <v>138</v>
      </c>
      <c r="D76" s="544">
        <v>135</v>
      </c>
      <c r="E76" s="544">
        <v>145.6</v>
      </c>
      <c r="H76" s="537">
        <f t="shared" si="9"/>
        <v>150</v>
      </c>
      <c r="I76" s="569">
        <f t="shared" si="8"/>
        <v>150</v>
      </c>
      <c r="J76" s="572">
        <f t="shared" si="4"/>
        <v>0</v>
      </c>
      <c r="K76" s="545" t="str">
        <f t="shared" si="6"/>
        <v/>
      </c>
      <c r="L76" s="538"/>
      <c r="M76" s="539"/>
      <c r="N76" s="4"/>
      <c r="O76" s="4"/>
      <c r="P76" s="4"/>
    </row>
    <row r="77" spans="1:16" x14ac:dyDescent="0.2">
      <c r="A77" s="551">
        <v>5232</v>
      </c>
      <c r="B77" s="540" t="s">
        <v>190</v>
      </c>
      <c r="C77" s="544">
        <v>252</v>
      </c>
      <c r="D77" s="544">
        <v>246.16</v>
      </c>
      <c r="E77" s="544">
        <v>233.72</v>
      </c>
      <c r="H77" s="537">
        <f t="shared" si="9"/>
        <v>300</v>
      </c>
      <c r="I77" s="569">
        <f t="shared" si="8"/>
        <v>350</v>
      </c>
      <c r="J77" s="572">
        <f t="shared" si="4"/>
        <v>50</v>
      </c>
      <c r="K77" s="545">
        <f t="shared" si="6"/>
        <v>0.16669999999999999</v>
      </c>
      <c r="L77" s="538" t="s">
        <v>1492</v>
      </c>
      <c r="M77" s="539"/>
      <c r="N77" s="4"/>
      <c r="O77" s="4"/>
      <c r="P77" s="4"/>
    </row>
    <row r="78" spans="1:16" x14ac:dyDescent="0.2">
      <c r="A78" s="551">
        <v>5242</v>
      </c>
      <c r="B78" s="540" t="s">
        <v>1269</v>
      </c>
      <c r="C78" s="544"/>
      <c r="D78" s="544"/>
      <c r="E78" s="544"/>
      <c r="H78" s="537">
        <f t="shared" si="9"/>
        <v>715</v>
      </c>
      <c r="I78" s="569">
        <f t="shared" si="8"/>
        <v>715</v>
      </c>
      <c r="J78" s="572">
        <f t="shared" si="4"/>
        <v>0</v>
      </c>
      <c r="K78" s="545" t="str">
        <f t="shared" si="6"/>
        <v/>
      </c>
      <c r="L78" s="538"/>
      <c r="M78" s="539"/>
      <c r="N78" s="4"/>
      <c r="O78" s="4"/>
      <c r="P78" s="4"/>
    </row>
    <row r="79" spans="1:16" x14ac:dyDescent="0.2">
      <c r="A79" s="551">
        <v>5247</v>
      </c>
      <c r="B79" s="540" t="s">
        <v>145</v>
      </c>
      <c r="C79" s="544">
        <v>11095</v>
      </c>
      <c r="D79" s="544">
        <v>12472</v>
      </c>
      <c r="E79" s="544">
        <v>11895.93</v>
      </c>
      <c r="H79" s="537">
        <f t="shared" si="9"/>
        <v>15000</v>
      </c>
      <c r="I79" s="569">
        <f t="shared" si="8"/>
        <v>15500</v>
      </c>
      <c r="J79" s="572">
        <f t="shared" si="4"/>
        <v>500</v>
      </c>
      <c r="K79" s="545">
        <f t="shared" si="6"/>
        <v>3.3300000000000003E-2</v>
      </c>
      <c r="L79" s="538" t="s">
        <v>1493</v>
      </c>
      <c r="M79" s="539"/>
    </row>
    <row r="80" spans="1:16" x14ac:dyDescent="0.2">
      <c r="A80" s="551">
        <v>5248</v>
      </c>
      <c r="B80" s="540" t="s">
        <v>133</v>
      </c>
      <c r="C80" s="544"/>
      <c r="D80" s="544">
        <v>455.76</v>
      </c>
      <c r="E80" s="544"/>
      <c r="H80" s="537">
        <f t="shared" si="9"/>
        <v>700</v>
      </c>
      <c r="I80" s="569">
        <f t="shared" si="8"/>
        <v>700</v>
      </c>
      <c r="J80" s="572">
        <f t="shared" si="4"/>
        <v>0</v>
      </c>
      <c r="K80" s="545" t="str">
        <f t="shared" si="6"/>
        <v/>
      </c>
      <c r="L80" s="538"/>
      <c r="M80" s="539"/>
    </row>
    <row r="81" spans="1:13" hidden="1" x14ac:dyDescent="0.2">
      <c r="A81" s="551">
        <v>5341</v>
      </c>
      <c r="B81" s="540" t="s">
        <v>136</v>
      </c>
      <c r="C81" s="544">
        <v>1126.05</v>
      </c>
      <c r="D81" s="544">
        <v>1122.06</v>
      </c>
      <c r="E81" s="544">
        <v>1125.47</v>
      </c>
      <c r="H81" s="537">
        <f t="shared" si="9"/>
        <v>0</v>
      </c>
      <c r="I81" s="569">
        <f t="shared" si="8"/>
        <v>0</v>
      </c>
      <c r="J81" s="572">
        <f t="shared" si="4"/>
        <v>0</v>
      </c>
      <c r="K81" s="545" t="str">
        <f t="shared" si="6"/>
        <v/>
      </c>
      <c r="L81" s="538"/>
      <c r="M81" s="539"/>
    </row>
    <row r="82" spans="1:13" x14ac:dyDescent="0.2">
      <c r="A82" s="551">
        <v>5344</v>
      </c>
      <c r="B82" s="540" t="s">
        <v>137</v>
      </c>
      <c r="C82" s="544">
        <v>179.19</v>
      </c>
      <c r="D82" s="544">
        <v>88.46</v>
      </c>
      <c r="E82" s="544">
        <v>176.99</v>
      </c>
      <c r="H82" s="537">
        <f t="shared" si="9"/>
        <v>200</v>
      </c>
      <c r="I82" s="569">
        <f t="shared" si="8"/>
        <v>200</v>
      </c>
      <c r="J82" s="572">
        <f t="shared" si="4"/>
        <v>0</v>
      </c>
      <c r="K82" s="545" t="str">
        <f t="shared" si="6"/>
        <v/>
      </c>
      <c r="L82" s="538"/>
      <c r="M82" s="539"/>
    </row>
    <row r="83" spans="1:13" x14ac:dyDescent="0.2">
      <c r="A83" s="551">
        <v>5345</v>
      </c>
      <c r="B83" s="540" t="s">
        <v>138</v>
      </c>
      <c r="C83" s="544">
        <v>122.62</v>
      </c>
      <c r="D83" s="544">
        <v>321.16000000000003</v>
      </c>
      <c r="E83" s="544"/>
      <c r="H83" s="537">
        <f t="shared" si="9"/>
        <v>200</v>
      </c>
      <c r="I83" s="569">
        <f t="shared" si="8"/>
        <v>200</v>
      </c>
      <c r="J83" s="572">
        <f t="shared" si="4"/>
        <v>0</v>
      </c>
      <c r="K83" s="545" t="str">
        <f t="shared" si="6"/>
        <v/>
      </c>
      <c r="L83" s="538"/>
      <c r="M83" s="539"/>
    </row>
    <row r="84" spans="1:13" x14ac:dyDescent="0.2">
      <c r="A84" s="551">
        <v>5350</v>
      </c>
      <c r="B84" s="540" t="s">
        <v>218</v>
      </c>
      <c r="C84" s="554">
        <v>1000</v>
      </c>
      <c r="D84" s="554">
        <v>6050</v>
      </c>
      <c r="E84" s="554">
        <v>5055</v>
      </c>
      <c r="H84" s="537">
        <f t="shared" si="9"/>
        <v>5500</v>
      </c>
      <c r="I84" s="569">
        <f t="shared" si="8"/>
        <v>6000</v>
      </c>
      <c r="J84" s="572">
        <f t="shared" si="4"/>
        <v>500</v>
      </c>
      <c r="K84" s="545">
        <f t="shared" si="6"/>
        <v>9.0899999999999995E-2</v>
      </c>
      <c r="L84" s="538" t="s">
        <v>1490</v>
      </c>
      <c r="M84" s="539"/>
    </row>
    <row r="85" spans="1:13" x14ac:dyDescent="0.2">
      <c r="A85" s="551">
        <v>5360</v>
      </c>
      <c r="B85" s="540" t="s">
        <v>1219</v>
      </c>
      <c r="C85" s="554"/>
      <c r="D85" s="554"/>
      <c r="E85" s="554"/>
      <c r="H85" s="537">
        <f t="shared" si="9"/>
        <v>1775</v>
      </c>
      <c r="I85" s="569">
        <f t="shared" si="8"/>
        <v>1775</v>
      </c>
      <c r="J85" s="572">
        <f t="shared" si="4"/>
        <v>0</v>
      </c>
      <c r="K85" s="545" t="str">
        <f t="shared" si="6"/>
        <v/>
      </c>
      <c r="L85" s="538"/>
      <c r="M85" s="539"/>
    </row>
    <row r="86" spans="1:13" x14ac:dyDescent="0.2">
      <c r="A86" s="551">
        <v>5380</v>
      </c>
      <c r="B86" s="540" t="s">
        <v>219</v>
      </c>
      <c r="C86" s="544">
        <v>100</v>
      </c>
      <c r="D86" s="544">
        <v>106</v>
      </c>
      <c r="E86" s="544">
        <v>112</v>
      </c>
      <c r="H86" s="537">
        <f t="shared" si="9"/>
        <v>116</v>
      </c>
      <c r="I86" s="569">
        <f t="shared" si="8"/>
        <v>116</v>
      </c>
      <c r="J86" s="572">
        <f t="shared" si="4"/>
        <v>0</v>
      </c>
      <c r="K86" s="545" t="str">
        <f t="shared" si="6"/>
        <v/>
      </c>
      <c r="L86" s="538"/>
      <c r="M86" s="539"/>
    </row>
    <row r="87" spans="1:13" x14ac:dyDescent="0.2">
      <c r="A87" s="551">
        <v>5420</v>
      </c>
      <c r="B87" s="540" t="s">
        <v>139</v>
      </c>
      <c r="C87" s="536">
        <v>3279.66</v>
      </c>
      <c r="D87" s="536">
        <v>6687.37</v>
      </c>
      <c r="E87" s="536">
        <v>3415.71</v>
      </c>
      <c r="H87" s="537">
        <f t="shared" si="9"/>
        <v>5800</v>
      </c>
      <c r="I87" s="569">
        <f t="shared" si="8"/>
        <v>6000</v>
      </c>
      <c r="J87" s="572">
        <f t="shared" si="4"/>
        <v>200</v>
      </c>
      <c r="K87" s="545">
        <f t="shared" si="6"/>
        <v>3.4500000000000003E-2</v>
      </c>
      <c r="L87" s="538" t="s">
        <v>1490</v>
      </c>
      <c r="M87" s="539"/>
    </row>
    <row r="88" spans="1:13" x14ac:dyDescent="0.2">
      <c r="A88" s="551">
        <v>5580</v>
      </c>
      <c r="B88" s="540" t="s">
        <v>140</v>
      </c>
      <c r="C88" s="544">
        <v>1205.0999999999999</v>
      </c>
      <c r="D88" s="544">
        <v>1212.29</v>
      </c>
      <c r="E88" s="544">
        <v>1200</v>
      </c>
      <c r="H88" s="537">
        <f t="shared" si="9"/>
        <v>1400</v>
      </c>
      <c r="I88" s="569">
        <f t="shared" si="8"/>
        <v>1600</v>
      </c>
      <c r="J88" s="572">
        <f t="shared" si="4"/>
        <v>200</v>
      </c>
      <c r="K88" s="545">
        <f t="shared" si="6"/>
        <v>0.1429</v>
      </c>
      <c r="L88" s="538" t="s">
        <v>1490</v>
      </c>
      <c r="M88" s="539"/>
    </row>
    <row r="89" spans="1:13" x14ac:dyDescent="0.2">
      <c r="A89" s="551">
        <v>5581</v>
      </c>
      <c r="B89" s="540" t="s">
        <v>141</v>
      </c>
      <c r="C89" s="544">
        <v>31287.93</v>
      </c>
      <c r="D89" s="544">
        <v>35475.230000000003</v>
      </c>
      <c r="E89" s="544">
        <v>37931.71</v>
      </c>
      <c r="H89" s="537">
        <f t="shared" si="9"/>
        <v>45400</v>
      </c>
      <c r="I89" s="569">
        <f t="shared" si="8"/>
        <v>48800</v>
      </c>
      <c r="J89" s="572">
        <f t="shared" si="4"/>
        <v>3400</v>
      </c>
      <c r="K89" s="545">
        <f t="shared" si="6"/>
        <v>7.4899999999999994E-2</v>
      </c>
      <c r="L89" s="538" t="s">
        <v>1494</v>
      </c>
      <c r="M89" s="539"/>
    </row>
    <row r="90" spans="1:13" x14ac:dyDescent="0.2">
      <c r="A90" s="551">
        <v>5587</v>
      </c>
      <c r="B90" s="540" t="s">
        <v>220</v>
      </c>
      <c r="C90" s="544">
        <v>26171.85</v>
      </c>
      <c r="D90" s="544">
        <v>26921.83</v>
      </c>
      <c r="E90" s="544">
        <v>29068.29</v>
      </c>
      <c r="H90" s="537">
        <f t="shared" si="9"/>
        <v>37800</v>
      </c>
      <c r="I90" s="569">
        <f t="shared" si="8"/>
        <v>37800</v>
      </c>
      <c r="J90" s="572">
        <f t="shared" si="4"/>
        <v>0</v>
      </c>
      <c r="K90" s="545" t="str">
        <f t="shared" si="6"/>
        <v/>
      </c>
      <c r="L90" s="538"/>
      <c r="M90" s="539"/>
    </row>
    <row r="91" spans="1:13" x14ac:dyDescent="0.2">
      <c r="A91" s="551">
        <v>5590</v>
      </c>
      <c r="B91" s="563" t="s">
        <v>555</v>
      </c>
      <c r="C91" s="544">
        <v>839.2</v>
      </c>
      <c r="D91" s="544">
        <v>424.94</v>
      </c>
      <c r="E91" s="544">
        <v>64.989999999999995</v>
      </c>
      <c r="H91" s="537">
        <f t="shared" si="9"/>
        <v>1000</v>
      </c>
      <c r="I91" s="569">
        <f t="shared" si="8"/>
        <v>1000</v>
      </c>
      <c r="J91" s="572">
        <f t="shared" si="4"/>
        <v>0</v>
      </c>
      <c r="K91" s="545" t="str">
        <f t="shared" si="6"/>
        <v/>
      </c>
      <c r="L91" s="538"/>
      <c r="M91" s="539"/>
    </row>
    <row r="92" spans="1:13" x14ac:dyDescent="0.2">
      <c r="A92" s="551">
        <v>5710</v>
      </c>
      <c r="B92" s="540" t="s">
        <v>529</v>
      </c>
      <c r="C92" s="536">
        <v>1628.73</v>
      </c>
      <c r="D92" s="536">
        <v>1042.58</v>
      </c>
      <c r="E92" s="536">
        <v>790.05</v>
      </c>
      <c r="H92" s="537">
        <f t="shared" si="9"/>
        <v>1400</v>
      </c>
      <c r="I92" s="569">
        <f t="shared" si="8"/>
        <v>1400</v>
      </c>
      <c r="J92" s="572">
        <f t="shared" si="4"/>
        <v>0</v>
      </c>
      <c r="K92" s="545" t="str">
        <f t="shared" si="6"/>
        <v/>
      </c>
      <c r="L92" s="538"/>
      <c r="M92" s="539"/>
    </row>
    <row r="93" spans="1:13" ht="13.5" thickBot="1" x14ac:dyDescent="0.25">
      <c r="A93" s="551">
        <v>5730</v>
      </c>
      <c r="B93" s="540" t="s">
        <v>142</v>
      </c>
      <c r="C93" s="542"/>
      <c r="D93" s="542">
        <v>40</v>
      </c>
      <c r="E93" s="542"/>
      <c r="H93" s="537">
        <f t="shared" si="9"/>
        <v>100</v>
      </c>
      <c r="I93" s="569">
        <f t="shared" si="8"/>
        <v>100</v>
      </c>
      <c r="J93" s="572">
        <f t="shared" si="4"/>
        <v>0</v>
      </c>
      <c r="K93" s="545" t="str">
        <f t="shared" si="6"/>
        <v/>
      </c>
      <c r="L93" s="538"/>
      <c r="M93" s="539"/>
    </row>
    <row r="94" spans="1:13" x14ac:dyDescent="0.2">
      <c r="C94" s="121"/>
    </row>
    <row r="95" spans="1:13" x14ac:dyDescent="0.2">
      <c r="B95" s="4" t="s">
        <v>1600</v>
      </c>
      <c r="C95" s="25"/>
      <c r="D95" s="25"/>
      <c r="E95" s="25"/>
      <c r="F95" s="25"/>
      <c r="G95" s="25"/>
      <c r="H95" s="849">
        <f>SUM(H68:H93)</f>
        <v>411071</v>
      </c>
      <c r="I95" s="849">
        <f>SUM(I68:I93)</f>
        <v>426950</v>
      </c>
      <c r="J95" s="208">
        <f t="shared" ref="J95" si="10">+I95-H95</f>
        <v>15879</v>
      </c>
      <c r="K95" s="850">
        <f t="shared" ref="K95" si="11">IF(H95+I95&lt;&gt;0,IF(H95&lt;&gt;0,IF(J95&lt;&gt;0,ROUND((+J95/H95),4),""),1),"")</f>
        <v>3.8600000000000002E-2</v>
      </c>
    </row>
    <row r="96" spans="1:13" x14ac:dyDescent="0.2">
      <c r="C96" s="121"/>
    </row>
    <row r="97" spans="3:3" x14ac:dyDescent="0.2">
      <c r="C97" s="121"/>
    </row>
    <row r="98" spans="3:3" x14ac:dyDescent="0.2">
      <c r="C98" s="121"/>
    </row>
    <row r="99" spans="3:3" x14ac:dyDescent="0.2">
      <c r="C99" s="121"/>
    </row>
    <row r="100" spans="3:3" x14ac:dyDescent="0.2">
      <c r="C100" s="121"/>
    </row>
    <row r="101" spans="3:3" x14ac:dyDescent="0.2">
      <c r="C101" s="121"/>
    </row>
    <row r="102" spans="3:3" x14ac:dyDescent="0.2">
      <c r="C102" s="121"/>
    </row>
    <row r="103" spans="3:3" x14ac:dyDescent="0.2">
      <c r="C103" s="121"/>
    </row>
    <row r="104" spans="3:3" x14ac:dyDescent="0.2">
      <c r="C104" s="121"/>
    </row>
    <row r="105" spans="3:3" x14ac:dyDescent="0.2">
      <c r="C105" s="121"/>
    </row>
    <row r="106" spans="3:3" x14ac:dyDescent="0.2">
      <c r="C106" s="121"/>
    </row>
    <row r="107" spans="3:3" x14ac:dyDescent="0.2">
      <c r="C107" s="121"/>
    </row>
    <row r="108" spans="3:3" x14ac:dyDescent="0.2">
      <c r="C108" s="121"/>
    </row>
    <row r="109" spans="3:3" x14ac:dyDescent="0.2">
      <c r="C109" s="121"/>
    </row>
    <row r="110" spans="3:3" x14ac:dyDescent="0.2">
      <c r="C110" s="121"/>
    </row>
    <row r="111" spans="3:3" x14ac:dyDescent="0.2">
      <c r="C111" s="121"/>
    </row>
    <row r="112" spans="3:3"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sheetData>
  <phoneticPr fontId="0" type="noConversion"/>
  <hyperlinks>
    <hyperlink ref="A1" location="'Working Budget with funding det'!A1" display="Main "/>
    <hyperlink ref="B1" location="'Table of Contents'!A1" display="TOC"/>
  </hyperlinks>
  <pageMargins left="0.75" right="0.75" top="1" bottom="0" header="0.5" footer="0.5"/>
  <pageSetup scale="96" fitToHeight="3" orientation="landscape" verticalDpi="300" r:id="rId1"/>
  <headerFooter alignWithMargins="0">
    <oddFooter>&amp;L&amp;D     &amp;T&amp;C&amp;P&amp;R&amp;A   &amp;P</oddFooter>
  </headerFooter>
  <rowBreaks count="2" manualBreakCount="2">
    <brk id="42" max="11" man="1"/>
    <brk id="64" max="11"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7"/>
  <sheetViews>
    <sheetView zoomScale="85" zoomScaleNormal="85" workbookViewId="0">
      <pane ySplit="7" topLeftCell="A19" activePane="bottomLeft" state="frozen"/>
      <selection activeCell="K16" sqref="K16"/>
      <selection pane="bottomLeft" activeCell="J36" sqref="J36"/>
    </sheetView>
  </sheetViews>
  <sheetFormatPr defaultRowHeight="12.75" x14ac:dyDescent="0.2"/>
  <cols>
    <col min="1" max="1" width="10.6640625" customWidth="1"/>
    <col min="2" max="2" width="36.6640625" customWidth="1"/>
    <col min="3" max="3" width="14.5" style="1" hidden="1" customWidth="1"/>
    <col min="4" max="7" width="14.5" style="121" hidden="1" customWidth="1"/>
    <col min="8" max="10" width="14.5" style="121" customWidth="1"/>
    <col min="11" max="11" width="14.5" customWidth="1"/>
    <col min="12" max="14" width="14.5" style="1" customWidth="1"/>
    <col min="15" max="17" width="14.5" customWidth="1"/>
    <col min="18" max="18" width="14.6640625" style="2" customWidth="1"/>
  </cols>
  <sheetData>
    <row r="1" spans="1:18" x14ac:dyDescent="0.2">
      <c r="A1" s="410" t="s">
        <v>1013</v>
      </c>
      <c r="B1" s="410" t="s">
        <v>1418</v>
      </c>
      <c r="N1"/>
    </row>
    <row r="2" spans="1:18" ht="15" x14ac:dyDescent="0.25">
      <c r="A2" s="49" t="s">
        <v>259</v>
      </c>
      <c r="B2" s="49"/>
      <c r="E2" s="153"/>
      <c r="H2" s="153" t="s">
        <v>252</v>
      </c>
      <c r="I2" s="153"/>
      <c r="J2" s="153"/>
      <c r="K2" s="67" t="s">
        <v>362</v>
      </c>
      <c r="M2" s="50" t="s">
        <v>497</v>
      </c>
    </row>
    <row r="3" spans="1:18" ht="13.5" thickBot="1" x14ac:dyDescent="0.25">
      <c r="A3" s="4"/>
      <c r="B3" s="4"/>
      <c r="C3" s="25"/>
      <c r="D3" s="25"/>
      <c r="E3" s="25"/>
      <c r="F3" s="25"/>
      <c r="G3" s="25"/>
      <c r="H3" s="25"/>
      <c r="I3" s="25"/>
      <c r="J3" s="25"/>
      <c r="K3" s="4"/>
      <c r="L3" s="25"/>
      <c r="M3" s="4"/>
      <c r="N3" s="4"/>
      <c r="Q3" s="4"/>
    </row>
    <row r="4" spans="1:18"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8" x14ac:dyDescent="0.2">
      <c r="A5" s="93"/>
      <c r="B5" s="216"/>
      <c r="C5" s="137"/>
      <c r="D5" s="94"/>
      <c r="E5" s="120"/>
      <c r="F5" s="94"/>
      <c r="G5" s="94"/>
      <c r="H5" s="120"/>
      <c r="I5" s="449"/>
      <c r="J5" s="449"/>
      <c r="K5" s="120" t="s">
        <v>509</v>
      </c>
      <c r="L5" s="95" t="s">
        <v>7</v>
      </c>
      <c r="M5" s="209" t="s">
        <v>783</v>
      </c>
    </row>
    <row r="6" spans="1:18" x14ac:dyDescent="0.2">
      <c r="A6" s="93"/>
      <c r="B6" s="216"/>
      <c r="C6" s="137"/>
      <c r="D6" s="137"/>
      <c r="E6" s="137"/>
      <c r="F6" s="94"/>
      <c r="G6" s="137"/>
      <c r="H6" s="137"/>
      <c r="I6" s="370"/>
      <c r="J6" s="370"/>
      <c r="K6" s="137"/>
      <c r="L6" s="95" t="s">
        <v>8</v>
      </c>
      <c r="M6" s="51" t="s">
        <v>537</v>
      </c>
    </row>
    <row r="7" spans="1:18"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8" ht="13.5" thickTop="1" x14ac:dyDescent="0.2">
      <c r="A8" s="30"/>
      <c r="B8" s="218"/>
      <c r="C8" s="142"/>
      <c r="D8" s="19"/>
      <c r="E8" s="19"/>
      <c r="F8" s="19"/>
      <c r="G8" s="19"/>
      <c r="H8" s="19"/>
      <c r="I8" s="20"/>
      <c r="J8" s="20"/>
      <c r="K8" s="19"/>
      <c r="L8" s="20"/>
      <c r="M8" s="20"/>
    </row>
    <row r="9" spans="1:18" x14ac:dyDescent="0.2">
      <c r="A9" s="12">
        <v>5111</v>
      </c>
      <c r="B9" s="117" t="s">
        <v>570</v>
      </c>
      <c r="C9" s="140">
        <v>56733.95</v>
      </c>
      <c r="D9" s="14">
        <v>61829</v>
      </c>
      <c r="E9" s="14">
        <v>63697</v>
      </c>
      <c r="F9" s="14">
        <v>65620</v>
      </c>
      <c r="G9" s="14">
        <v>67602</v>
      </c>
      <c r="H9" s="14">
        <v>69988</v>
      </c>
      <c r="I9" s="14">
        <v>71388</v>
      </c>
      <c r="J9" s="15">
        <f>2517+71388</f>
        <v>73905</v>
      </c>
      <c r="K9" s="14">
        <v>35260</v>
      </c>
      <c r="L9" s="15">
        <f>ROUND(+K35,0)</f>
        <v>75014</v>
      </c>
      <c r="M9" s="15"/>
    </row>
    <row r="10" spans="1:18" x14ac:dyDescent="0.2">
      <c r="A10" s="12">
        <v>5113</v>
      </c>
      <c r="B10" s="69" t="s">
        <v>571</v>
      </c>
      <c r="C10" s="140">
        <v>14204.61</v>
      </c>
      <c r="D10" s="14">
        <v>16756.2</v>
      </c>
      <c r="E10" s="14">
        <v>17207.96</v>
      </c>
      <c r="F10" s="14">
        <v>18025.599999999999</v>
      </c>
      <c r="G10" s="14">
        <v>18583.2</v>
      </c>
      <c r="H10" s="14">
        <v>19260.8</v>
      </c>
      <c r="I10" s="14">
        <v>20144.8</v>
      </c>
      <c r="J10" s="15">
        <f>210+20813</f>
        <v>21023</v>
      </c>
      <c r="K10" s="14">
        <v>10030</v>
      </c>
      <c r="L10" s="15">
        <f>ROUND(+K36,0)</f>
        <v>21580</v>
      </c>
      <c r="M10" s="15"/>
    </row>
    <row r="11" spans="1:18" x14ac:dyDescent="0.2">
      <c r="A11" s="12">
        <v>5124</v>
      </c>
      <c r="B11" s="69" t="s">
        <v>180</v>
      </c>
      <c r="C11" s="140">
        <v>18920.04</v>
      </c>
      <c r="D11" s="14">
        <v>18869.12</v>
      </c>
      <c r="E11" s="14">
        <v>19350.96</v>
      </c>
      <c r="F11" s="14">
        <v>20507.150000000001</v>
      </c>
      <c r="G11" s="14">
        <v>22617.14</v>
      </c>
      <c r="H11" s="14">
        <v>24574.15</v>
      </c>
      <c r="I11" s="14">
        <v>25060.87</v>
      </c>
      <c r="J11" s="15">
        <f>250+26975</f>
        <v>27225</v>
      </c>
      <c r="K11" s="14">
        <v>27224.74</v>
      </c>
      <c r="L11" s="15">
        <v>29650</v>
      </c>
      <c r="M11" s="15"/>
    </row>
    <row r="12" spans="1:18" ht="13.5" thickBot="1" x14ac:dyDescent="0.25">
      <c r="A12" s="12">
        <v>5144</v>
      </c>
      <c r="B12" s="69" t="s">
        <v>152</v>
      </c>
      <c r="C12" s="141">
        <v>150</v>
      </c>
      <c r="D12" s="16">
        <v>150</v>
      </c>
      <c r="E12" s="16">
        <v>150</v>
      </c>
      <c r="F12" s="16">
        <v>150</v>
      </c>
      <c r="G12" s="16">
        <v>800</v>
      </c>
      <c r="H12" s="16">
        <v>1100</v>
      </c>
      <c r="I12" s="16">
        <v>1100</v>
      </c>
      <c r="J12" s="17">
        <v>1100</v>
      </c>
      <c r="K12" s="16">
        <v>1100</v>
      </c>
      <c r="L12" s="17">
        <f>SUM(N35:N36)</f>
        <v>1100</v>
      </c>
      <c r="M12" s="17"/>
    </row>
    <row r="13" spans="1:18" x14ac:dyDescent="0.2">
      <c r="A13" s="12"/>
      <c r="B13" s="70" t="s">
        <v>125</v>
      </c>
      <c r="C13" s="142">
        <f t="shared" ref="C13:K13" si="0">SUM(C9:C12)</f>
        <v>90008.6</v>
      </c>
      <c r="D13" s="19">
        <f t="shared" si="0"/>
        <v>97604.319999999992</v>
      </c>
      <c r="E13" s="19">
        <f t="shared" si="0"/>
        <v>100405.91999999998</v>
      </c>
      <c r="F13" s="19">
        <f>SUM(F9:F12)</f>
        <v>104302.75</v>
      </c>
      <c r="G13" s="19">
        <f>SUM(G9:G12)</f>
        <v>109602.34</v>
      </c>
      <c r="H13" s="19">
        <f>SUM(H9:H12)</f>
        <v>114922.95000000001</v>
      </c>
      <c r="I13" s="19">
        <f t="shared" si="0"/>
        <v>117693.67</v>
      </c>
      <c r="J13" s="20">
        <f>SUM(J9:J12)</f>
        <v>123253</v>
      </c>
      <c r="K13" s="19">
        <f t="shared" si="0"/>
        <v>73614.740000000005</v>
      </c>
      <c r="L13" s="20">
        <f>SUM(L9:L12)</f>
        <v>127344</v>
      </c>
      <c r="M13" s="20">
        <f>SUM(M9:M12)</f>
        <v>0</v>
      </c>
    </row>
    <row r="14" spans="1:18" x14ac:dyDescent="0.2">
      <c r="A14" s="12"/>
      <c r="B14" s="69"/>
      <c r="C14" s="140"/>
      <c r="D14" s="14"/>
      <c r="E14" s="14"/>
      <c r="F14" s="14"/>
      <c r="G14" s="14"/>
      <c r="H14" s="14"/>
      <c r="I14" s="14"/>
      <c r="J14" s="15"/>
      <c r="K14" s="14"/>
      <c r="L14" s="15"/>
      <c r="M14" s="15"/>
    </row>
    <row r="15" spans="1:18" x14ac:dyDescent="0.2">
      <c r="A15" s="12">
        <v>5242</v>
      </c>
      <c r="B15" s="69" t="s">
        <v>856</v>
      </c>
      <c r="C15" s="140"/>
      <c r="D15" s="14"/>
      <c r="E15" s="14"/>
      <c r="F15" s="14">
        <v>6528.96</v>
      </c>
      <c r="G15" s="14">
        <v>5808.28</v>
      </c>
      <c r="H15" s="14">
        <v>9579.82</v>
      </c>
      <c r="I15" s="156">
        <v>8673.4599999999991</v>
      </c>
      <c r="J15" s="132">
        <f>3000+9095</f>
        <v>12095</v>
      </c>
      <c r="K15" s="14">
        <v>11000</v>
      </c>
      <c r="L15" s="132">
        <f>3000+9095</f>
        <v>12095</v>
      </c>
      <c r="M15" s="132"/>
      <c r="R15"/>
    </row>
    <row r="16" spans="1:18" hidden="1" x14ac:dyDescent="0.2">
      <c r="A16" s="12">
        <v>5275</v>
      </c>
      <c r="B16" s="69" t="s">
        <v>121</v>
      </c>
      <c r="C16" s="140">
        <v>3117</v>
      </c>
      <c r="D16" s="14">
        <v>3228</v>
      </c>
      <c r="E16" s="14">
        <v>3228</v>
      </c>
      <c r="F16" s="14"/>
      <c r="G16" s="14"/>
      <c r="H16" s="14"/>
      <c r="I16" s="156"/>
      <c r="J16" s="132"/>
      <c r="K16" s="14"/>
      <c r="L16" s="132"/>
      <c r="M16" s="132"/>
      <c r="R16"/>
    </row>
    <row r="17" spans="1:18" hidden="1" x14ac:dyDescent="0.2">
      <c r="A17" s="12"/>
      <c r="B17" s="69" t="s">
        <v>857</v>
      </c>
      <c r="C17" s="263"/>
      <c r="D17" s="39"/>
      <c r="E17" s="39"/>
      <c r="F17" s="39"/>
      <c r="G17" s="39"/>
      <c r="H17" s="39"/>
      <c r="I17" s="244"/>
      <c r="J17" s="135"/>
      <c r="K17" s="39"/>
      <c r="L17" s="135"/>
      <c r="M17" s="135"/>
      <c r="R17"/>
    </row>
    <row r="18" spans="1:18" x14ac:dyDescent="0.2">
      <c r="A18" s="12">
        <v>5248</v>
      </c>
      <c r="B18" s="69" t="s">
        <v>866</v>
      </c>
      <c r="C18" s="263"/>
      <c r="D18" s="39"/>
      <c r="E18" s="39"/>
      <c r="F18" s="39">
        <v>1332.34</v>
      </c>
      <c r="G18" s="39">
        <v>1321.17</v>
      </c>
      <c r="H18" s="39">
        <v>1386.9</v>
      </c>
      <c r="I18" s="244">
        <v>1134.21</v>
      </c>
      <c r="J18" s="135">
        <v>1400</v>
      </c>
      <c r="K18" s="39">
        <v>705.07</v>
      </c>
      <c r="L18" s="135">
        <v>1400</v>
      </c>
      <c r="M18" s="135"/>
      <c r="R18"/>
    </row>
    <row r="19" spans="1:18" x14ac:dyDescent="0.2">
      <c r="A19" s="12">
        <v>5314</v>
      </c>
      <c r="B19" s="13" t="s">
        <v>134</v>
      </c>
      <c r="C19" s="39"/>
      <c r="D19" s="39"/>
      <c r="E19" s="39"/>
      <c r="F19" s="39">
        <v>225</v>
      </c>
      <c r="G19" s="39">
        <v>440</v>
      </c>
      <c r="H19" s="39">
        <v>225</v>
      </c>
      <c r="I19" s="244">
        <v>402.91</v>
      </c>
      <c r="J19" s="135">
        <v>700</v>
      </c>
      <c r="K19" s="39">
        <v>175</v>
      </c>
      <c r="L19" s="135">
        <v>700</v>
      </c>
      <c r="M19" s="135"/>
      <c r="R19"/>
    </row>
    <row r="20" spans="1:18" hidden="1" x14ac:dyDescent="0.2">
      <c r="A20" s="12">
        <v>5341</v>
      </c>
      <c r="B20" s="13" t="s">
        <v>136</v>
      </c>
      <c r="C20" s="14">
        <v>414.26</v>
      </c>
      <c r="D20" s="14">
        <v>403.42</v>
      </c>
      <c r="E20" s="14">
        <v>408.49</v>
      </c>
      <c r="F20" s="14">
        <v>423.79</v>
      </c>
      <c r="G20" s="14">
        <v>435.74</v>
      </c>
      <c r="H20" s="14"/>
      <c r="I20" s="156">
        <v>0</v>
      </c>
      <c r="J20" s="132">
        <v>0</v>
      </c>
      <c r="K20" s="14"/>
      <c r="L20" s="132">
        <v>0</v>
      </c>
      <c r="M20" s="132"/>
      <c r="R20"/>
    </row>
    <row r="21" spans="1:18" x14ac:dyDescent="0.2">
      <c r="A21" s="12">
        <v>5342</v>
      </c>
      <c r="B21" s="13" t="s">
        <v>858</v>
      </c>
      <c r="C21" s="14"/>
      <c r="D21" s="14"/>
      <c r="E21" s="14"/>
      <c r="F21" s="14">
        <v>1198.2</v>
      </c>
      <c r="G21" s="14">
        <v>1198.2</v>
      </c>
      <c r="H21" s="14">
        <v>1198.2</v>
      </c>
      <c r="I21" s="156">
        <v>1226.2</v>
      </c>
      <c r="J21" s="132">
        <v>1200</v>
      </c>
      <c r="K21" s="14">
        <v>641.1</v>
      </c>
      <c r="L21" s="132">
        <v>1200</v>
      </c>
      <c r="M21" s="132"/>
      <c r="R21"/>
    </row>
    <row r="22" spans="1:18" x14ac:dyDescent="0.2">
      <c r="A22" s="12">
        <v>5500</v>
      </c>
      <c r="B22" s="13" t="s">
        <v>870</v>
      </c>
      <c r="C22" s="39"/>
      <c r="D22" s="39"/>
      <c r="E22" s="39"/>
      <c r="F22" s="39">
        <v>1176</v>
      </c>
      <c r="G22" s="39">
        <v>1625</v>
      </c>
      <c r="H22" s="39"/>
      <c r="I22" s="244">
        <v>0</v>
      </c>
      <c r="J22" s="135">
        <v>0</v>
      </c>
      <c r="K22" s="39"/>
      <c r="L22" s="135">
        <v>0</v>
      </c>
      <c r="M22" s="135"/>
      <c r="R22"/>
    </row>
    <row r="23" spans="1:18" x14ac:dyDescent="0.2">
      <c r="A23" s="12">
        <v>5710</v>
      </c>
      <c r="B23" s="13" t="s">
        <v>529</v>
      </c>
      <c r="C23" s="39"/>
      <c r="D23" s="39"/>
      <c r="E23" s="39"/>
      <c r="F23" s="39">
        <v>409.6</v>
      </c>
      <c r="G23" s="39">
        <v>145.52000000000001</v>
      </c>
      <c r="H23" s="39">
        <v>465.13</v>
      </c>
      <c r="I23" s="244">
        <v>1073.92</v>
      </c>
      <c r="J23" s="135">
        <v>400</v>
      </c>
      <c r="K23" s="39"/>
      <c r="L23" s="135">
        <v>400</v>
      </c>
      <c r="M23" s="135"/>
      <c r="R23"/>
    </row>
    <row r="24" spans="1:18" ht="13.5" thickBot="1" x14ac:dyDescent="0.25">
      <c r="A24" s="12">
        <v>5730</v>
      </c>
      <c r="B24" s="13" t="s">
        <v>267</v>
      </c>
      <c r="C24" s="16"/>
      <c r="D24" s="16"/>
      <c r="E24" s="16"/>
      <c r="F24" s="16">
        <v>515</v>
      </c>
      <c r="G24" s="16">
        <v>335</v>
      </c>
      <c r="H24" s="16">
        <v>415</v>
      </c>
      <c r="I24" s="349">
        <v>335</v>
      </c>
      <c r="J24" s="133">
        <v>400</v>
      </c>
      <c r="K24" s="16">
        <v>200</v>
      </c>
      <c r="L24" s="133">
        <v>400</v>
      </c>
      <c r="M24" s="133"/>
      <c r="R24"/>
    </row>
    <row r="25" spans="1:18" x14ac:dyDescent="0.2">
      <c r="A25" s="12"/>
      <c r="B25" s="18" t="s">
        <v>443</v>
      </c>
      <c r="C25" s="19">
        <f t="shared" ref="C25:K25" si="1">SUM(C15:C24)</f>
        <v>3531.26</v>
      </c>
      <c r="D25" s="19">
        <f t="shared" si="1"/>
        <v>3631.42</v>
      </c>
      <c r="E25" s="19">
        <f t="shared" si="1"/>
        <v>3636.49</v>
      </c>
      <c r="F25" s="19">
        <f>SUM(F15:F24)</f>
        <v>11808.890000000001</v>
      </c>
      <c r="G25" s="19">
        <f>SUM(G15:G24)</f>
        <v>11308.91</v>
      </c>
      <c r="H25" s="19">
        <f>SUM(H15:H24)</f>
        <v>13270.05</v>
      </c>
      <c r="I25" s="19">
        <f t="shared" si="1"/>
        <v>12845.699999999999</v>
      </c>
      <c r="J25" s="20">
        <f>SUM(J15:J24)</f>
        <v>16195</v>
      </c>
      <c r="K25" s="19">
        <f t="shared" si="1"/>
        <v>12721.17</v>
      </c>
      <c r="L25" s="20">
        <f>SUM(L15:L24)</f>
        <v>16195</v>
      </c>
      <c r="M25" s="20">
        <f>SUM(M15:M24)</f>
        <v>0</v>
      </c>
      <c r="R25"/>
    </row>
    <row r="26" spans="1:18" x14ac:dyDescent="0.2">
      <c r="A26" s="12"/>
      <c r="B26" s="13"/>
      <c r="C26" s="14"/>
      <c r="D26" s="14"/>
      <c r="E26" s="14"/>
      <c r="F26" s="14"/>
      <c r="G26" s="14"/>
      <c r="H26" s="14"/>
      <c r="I26" s="14"/>
      <c r="J26" s="15"/>
      <c r="K26" s="14"/>
      <c r="L26" s="15"/>
      <c r="M26" s="15"/>
      <c r="R26"/>
    </row>
    <row r="27" spans="1:18" ht="13.5" thickBot="1" x14ac:dyDescent="0.25">
      <c r="A27" s="21"/>
      <c r="B27" s="22" t="s">
        <v>132</v>
      </c>
      <c r="C27" s="23">
        <f t="shared" ref="C27:L27" si="2">+C25+C13</f>
        <v>93539.86</v>
      </c>
      <c r="D27" s="23">
        <f t="shared" si="2"/>
        <v>101235.73999999999</v>
      </c>
      <c r="E27" s="23">
        <f>+E25+E13</f>
        <v>104042.40999999999</v>
      </c>
      <c r="F27" s="23">
        <f>+F25+F13</f>
        <v>116111.64</v>
      </c>
      <c r="G27" s="23">
        <f>+G25+G13</f>
        <v>120911.25</v>
      </c>
      <c r="H27" s="23">
        <f>+H25+H13</f>
        <v>128193.00000000001</v>
      </c>
      <c r="I27" s="23">
        <f t="shared" si="2"/>
        <v>130539.37</v>
      </c>
      <c r="J27" s="24">
        <f t="shared" ref="J27" si="3">+J25+J13</f>
        <v>139448</v>
      </c>
      <c r="K27" s="23">
        <f t="shared" si="2"/>
        <v>86335.91</v>
      </c>
      <c r="L27" s="24">
        <f t="shared" si="2"/>
        <v>143539</v>
      </c>
      <c r="M27" s="24">
        <f>+L27</f>
        <v>143539</v>
      </c>
      <c r="R27"/>
    </row>
    <row r="28" spans="1:18" ht="16.5" thickTop="1" x14ac:dyDescent="0.25">
      <c r="A28" s="4"/>
      <c r="B28" s="4"/>
      <c r="C28" s="25"/>
      <c r="D28" s="25"/>
      <c r="E28" s="25"/>
      <c r="F28" s="25"/>
      <c r="G28" s="25"/>
      <c r="H28" s="25"/>
      <c r="I28" s="25"/>
      <c r="J28" s="25"/>
      <c r="K28" s="29"/>
      <c r="L28" s="25"/>
      <c r="M28" s="84"/>
      <c r="N28" s="25"/>
      <c r="O28" s="29"/>
      <c r="P28" s="214"/>
      <c r="Q28" s="29"/>
      <c r="R28"/>
    </row>
    <row r="29" spans="1:18" x14ac:dyDescent="0.2">
      <c r="B29" s="72"/>
      <c r="C29" s="25"/>
      <c r="D29" s="25"/>
      <c r="E29" s="25"/>
      <c r="F29" s="25"/>
      <c r="G29" s="25"/>
      <c r="H29" s="25"/>
      <c r="I29" s="25"/>
      <c r="J29" s="25"/>
      <c r="K29" s="29"/>
      <c r="L29" s="25"/>
      <c r="M29" s="84"/>
      <c r="N29" s="29"/>
      <c r="O29" s="29"/>
      <c r="P29" s="29"/>
      <c r="Q29" s="29"/>
      <c r="R29"/>
    </row>
    <row r="30" spans="1:18" x14ac:dyDescent="0.2">
      <c r="A30" s="160"/>
      <c r="B30" s="102"/>
      <c r="C30" s="25"/>
      <c r="D30" s="25"/>
      <c r="E30" s="25"/>
      <c r="F30" s="25"/>
      <c r="G30" s="25"/>
      <c r="H30" s="25"/>
      <c r="I30" s="25"/>
      <c r="J30" s="25"/>
      <c r="K30" s="29"/>
      <c r="L30" s="25"/>
      <c r="M30" s="25"/>
      <c r="N30" s="25"/>
      <c r="O30" s="29"/>
      <c r="P30" s="29"/>
      <c r="Q30" s="29"/>
      <c r="R30"/>
    </row>
    <row r="31" spans="1:18" x14ac:dyDescent="0.2">
      <c r="A31" s="4" t="s">
        <v>521</v>
      </c>
      <c r="B31" s="4"/>
      <c r="R31"/>
    </row>
    <row r="32" spans="1:18" ht="13.5" thickBot="1" x14ac:dyDescent="0.25">
      <c r="A32" s="4"/>
      <c r="B32" s="4"/>
      <c r="R32"/>
    </row>
    <row r="33" spans="1:18" ht="13.5" thickTop="1" x14ac:dyDescent="0.2">
      <c r="A33" s="162" t="s">
        <v>883</v>
      </c>
      <c r="B33" s="114"/>
      <c r="H33" s="346" t="s">
        <v>84</v>
      </c>
      <c r="I33" s="169" t="s">
        <v>702</v>
      </c>
      <c r="J33" s="182"/>
      <c r="K33" s="171" t="s">
        <v>578</v>
      </c>
      <c r="L33"/>
      <c r="M33" s="220" t="s">
        <v>336</v>
      </c>
      <c r="N33"/>
      <c r="R33"/>
    </row>
    <row r="34" spans="1:18" ht="13.5" thickBot="1" x14ac:dyDescent="0.25">
      <c r="A34" s="392" t="s">
        <v>884</v>
      </c>
      <c r="B34" s="116" t="s">
        <v>522</v>
      </c>
      <c r="H34" s="172"/>
      <c r="I34" s="172" t="s">
        <v>575</v>
      </c>
      <c r="J34" s="173" t="s">
        <v>703</v>
      </c>
      <c r="K34" s="173" t="s">
        <v>101</v>
      </c>
      <c r="L34" s="246" t="s">
        <v>335</v>
      </c>
      <c r="M34" s="246" t="s">
        <v>900</v>
      </c>
      <c r="N34" s="246" t="s">
        <v>337</v>
      </c>
      <c r="R34"/>
    </row>
    <row r="35" spans="1:18" ht="13.5" thickTop="1" x14ac:dyDescent="0.2">
      <c r="A35" s="185">
        <v>37165</v>
      </c>
      <c r="B35" s="117" t="s">
        <v>701</v>
      </c>
      <c r="H35" s="19" t="s">
        <v>1331</v>
      </c>
      <c r="I35" s="19"/>
      <c r="J35" s="20"/>
      <c r="K35" s="168">
        <f>+'NAGE &amp; Non-Union Wages'!L10</f>
        <v>75014</v>
      </c>
      <c r="L35" s="185">
        <v>37165</v>
      </c>
      <c r="M35">
        <v>19</v>
      </c>
      <c r="N35" s="2">
        <v>800</v>
      </c>
      <c r="R35"/>
    </row>
    <row r="36" spans="1:18" x14ac:dyDescent="0.2">
      <c r="A36" s="185">
        <v>41186</v>
      </c>
      <c r="B36" s="69" t="s">
        <v>571</v>
      </c>
      <c r="H36" s="14" t="s">
        <v>1067</v>
      </c>
      <c r="I36" s="14">
        <f>+'NAGE &amp; Non-Union Wages'!I5</f>
        <v>20.75</v>
      </c>
      <c r="J36" s="14">
        <v>1040</v>
      </c>
      <c r="K36" s="14">
        <f>ROUND((+I36*J36),2)</f>
        <v>21580</v>
      </c>
      <c r="L36" s="185">
        <v>41186</v>
      </c>
      <c r="M36">
        <v>8</v>
      </c>
      <c r="N36" s="2">
        <v>300</v>
      </c>
      <c r="R36"/>
    </row>
    <row r="37" spans="1:18" x14ac:dyDescent="0.2">
      <c r="A37" s="4"/>
      <c r="B37" s="4"/>
      <c r="C37" s="25"/>
      <c r="D37" s="25"/>
      <c r="E37" s="25"/>
      <c r="F37" s="25"/>
      <c r="H37" s="25"/>
      <c r="I37" s="25"/>
      <c r="J37" s="25"/>
      <c r="K37" s="29"/>
      <c r="L37" s="25"/>
      <c r="M37" s="25"/>
      <c r="N37" s="25"/>
      <c r="O37" s="29"/>
      <c r="P37" s="29"/>
      <c r="Q37" s="29"/>
      <c r="R37"/>
    </row>
    <row r="38" spans="1:18" x14ac:dyDescent="0.2">
      <c r="A38" s="4"/>
      <c r="B38" s="4"/>
      <c r="C38" s="25"/>
      <c r="D38" s="25"/>
      <c r="E38" s="25"/>
      <c r="F38" s="25"/>
      <c r="H38" s="25"/>
      <c r="I38" s="25"/>
      <c r="J38" s="25"/>
      <c r="K38" s="29"/>
      <c r="L38" s="25"/>
      <c r="M38" s="25"/>
      <c r="N38" s="25"/>
      <c r="O38" s="29"/>
      <c r="P38" s="29"/>
      <c r="Q38" s="29"/>
      <c r="R38"/>
    </row>
    <row r="39" spans="1:18" ht="13.5" thickBot="1" x14ac:dyDescent="0.25">
      <c r="A39" s="4"/>
      <c r="B39" s="4"/>
      <c r="C39" s="25"/>
      <c r="D39" s="25"/>
      <c r="E39" s="25"/>
      <c r="F39" s="25"/>
      <c r="H39" s="25"/>
      <c r="I39" s="25"/>
      <c r="J39" s="25"/>
      <c r="K39" s="29"/>
      <c r="L39" s="25"/>
      <c r="M39" s="25"/>
      <c r="N39" s="25"/>
      <c r="O39" s="29"/>
      <c r="P39" s="29"/>
      <c r="Q39" s="29"/>
      <c r="R39"/>
    </row>
    <row r="40" spans="1:18" ht="13.5" thickTop="1" x14ac:dyDescent="0.2">
      <c r="A40" s="517"/>
      <c r="B40" s="518"/>
      <c r="C40" s="519" t="s">
        <v>122</v>
      </c>
      <c r="D40" s="520" t="s">
        <v>122</v>
      </c>
      <c r="E40" s="520" t="s">
        <v>122</v>
      </c>
      <c r="H40" s="521" t="s">
        <v>542</v>
      </c>
      <c r="I40" s="522" t="s">
        <v>9</v>
      </c>
      <c r="J40" s="523" t="s">
        <v>1073</v>
      </c>
      <c r="K40" s="522" t="s">
        <v>682</v>
      </c>
      <c r="L40" s="524"/>
      <c r="M40" s="523"/>
      <c r="N40" s="25"/>
      <c r="O40" s="29"/>
      <c r="P40" s="29"/>
      <c r="Q40" s="29"/>
      <c r="R40"/>
    </row>
    <row r="41" spans="1:18" ht="13.5" thickBot="1" x14ac:dyDescent="0.25">
      <c r="A41" s="525" t="s">
        <v>123</v>
      </c>
      <c r="B41" s="526"/>
      <c r="C41" s="527" t="s">
        <v>334</v>
      </c>
      <c r="D41" s="527" t="s">
        <v>718</v>
      </c>
      <c r="E41" s="528" t="s">
        <v>734</v>
      </c>
      <c r="H41" s="529" t="s">
        <v>899</v>
      </c>
      <c r="I41" s="529" t="s">
        <v>900</v>
      </c>
      <c r="J41" s="528" t="s">
        <v>1075</v>
      </c>
      <c r="K41" s="530" t="s">
        <v>1075</v>
      </c>
      <c r="L41" s="531" t="s">
        <v>1074</v>
      </c>
      <c r="M41" s="529"/>
      <c r="N41" s="25"/>
      <c r="O41" s="29"/>
      <c r="P41" s="29"/>
      <c r="Q41" s="29"/>
      <c r="R41"/>
    </row>
    <row r="42" spans="1:18" ht="13.5" thickTop="1" x14ac:dyDescent="0.2">
      <c r="A42" s="548"/>
      <c r="B42" s="549"/>
      <c r="C42" s="536"/>
      <c r="D42" s="536"/>
      <c r="E42" s="536"/>
      <c r="H42" s="537"/>
      <c r="I42" s="536"/>
      <c r="J42" s="572">
        <f t="shared" ref="J42:J54" si="4">+I42-H42</f>
        <v>0</v>
      </c>
      <c r="K42" s="545"/>
      <c r="L42" s="538"/>
      <c r="M42" s="539"/>
      <c r="N42" s="25"/>
      <c r="O42" s="29"/>
      <c r="P42" s="29"/>
      <c r="Q42" s="29"/>
      <c r="R42"/>
    </row>
    <row r="43" spans="1:18" x14ac:dyDescent="0.2">
      <c r="A43" s="551">
        <v>5111</v>
      </c>
      <c r="B43" s="577" t="s">
        <v>570</v>
      </c>
      <c r="C43" s="544">
        <v>56733.95</v>
      </c>
      <c r="D43" s="544">
        <v>61829</v>
      </c>
      <c r="E43" s="544">
        <v>63697</v>
      </c>
      <c r="H43" s="543">
        <f>+J9</f>
        <v>73905</v>
      </c>
      <c r="I43" s="569">
        <f>+L9</f>
        <v>75014</v>
      </c>
      <c r="J43" s="572">
        <f t="shared" si="4"/>
        <v>1109</v>
      </c>
      <c r="K43" s="545">
        <f t="shared" ref="K43:K54" si="5">IF(H43+I43&lt;&gt;0,IF(H43&lt;&gt;0,IF(J43&lt;&gt;0,ROUND((+J43/H43),4),""),1),"")</f>
        <v>1.4999999999999999E-2</v>
      </c>
      <c r="L43" s="538" t="s">
        <v>1563</v>
      </c>
      <c r="M43" s="539"/>
      <c r="N43" s="25"/>
      <c r="O43" s="29"/>
      <c r="P43" s="29"/>
      <c r="Q43" s="29"/>
      <c r="R43"/>
    </row>
    <row r="44" spans="1:18" x14ac:dyDescent="0.2">
      <c r="A44" s="551">
        <v>5113</v>
      </c>
      <c r="B44" s="573" t="s">
        <v>571</v>
      </c>
      <c r="C44" s="544">
        <v>14204.61</v>
      </c>
      <c r="D44" s="544">
        <v>16756.2</v>
      </c>
      <c r="E44" s="544">
        <v>17207.96</v>
      </c>
      <c r="H44" s="543">
        <f t="shared" ref="H44:H46" si="6">+J10</f>
        <v>21023</v>
      </c>
      <c r="I44" s="569">
        <f>+L10</f>
        <v>21580</v>
      </c>
      <c r="J44" s="572">
        <f t="shared" si="4"/>
        <v>557</v>
      </c>
      <c r="K44" s="545">
        <f t="shared" si="5"/>
        <v>2.6499999999999999E-2</v>
      </c>
      <c r="L44" s="538" t="s">
        <v>1563</v>
      </c>
      <c r="M44" s="539"/>
      <c r="N44" s="25"/>
      <c r="O44" s="29"/>
      <c r="P44" s="29"/>
      <c r="Q44" s="29"/>
      <c r="R44"/>
    </row>
    <row r="45" spans="1:18" x14ac:dyDescent="0.2">
      <c r="A45" s="551">
        <v>5124</v>
      </c>
      <c r="B45" s="540" t="s">
        <v>180</v>
      </c>
      <c r="C45" s="544">
        <v>18920.04</v>
      </c>
      <c r="D45" s="544">
        <v>18869.12</v>
      </c>
      <c r="E45" s="544">
        <v>19350.96</v>
      </c>
      <c r="H45" s="543">
        <f t="shared" si="6"/>
        <v>27225</v>
      </c>
      <c r="I45" s="569">
        <f>+L11</f>
        <v>29650</v>
      </c>
      <c r="J45" s="572">
        <f t="shared" si="4"/>
        <v>2425</v>
      </c>
      <c r="K45" s="545">
        <f t="shared" si="5"/>
        <v>8.9099999999999999E-2</v>
      </c>
      <c r="L45" s="538" t="s">
        <v>1564</v>
      </c>
      <c r="M45" s="539"/>
      <c r="N45" s="25"/>
      <c r="O45" s="29"/>
      <c r="P45" s="29"/>
      <c r="Q45" s="29"/>
      <c r="R45"/>
    </row>
    <row r="46" spans="1:18" ht="13.5" thickBot="1" x14ac:dyDescent="0.25">
      <c r="A46" s="551">
        <v>5144</v>
      </c>
      <c r="B46" s="540" t="s">
        <v>152</v>
      </c>
      <c r="C46" s="542">
        <v>150</v>
      </c>
      <c r="D46" s="542">
        <v>150</v>
      </c>
      <c r="E46" s="542">
        <v>150</v>
      </c>
      <c r="H46" s="543">
        <f t="shared" si="6"/>
        <v>1100</v>
      </c>
      <c r="I46" s="569">
        <f>+L12</f>
        <v>1100</v>
      </c>
      <c r="J46" s="539">
        <f t="shared" si="4"/>
        <v>0</v>
      </c>
      <c r="K46" s="545" t="str">
        <f t="shared" si="5"/>
        <v/>
      </c>
      <c r="L46" s="538"/>
      <c r="M46" s="539"/>
      <c r="N46" s="25"/>
      <c r="O46" s="29"/>
      <c r="P46" s="29"/>
      <c r="Q46" s="29"/>
      <c r="R46"/>
    </row>
    <row r="47" spans="1:18" x14ac:dyDescent="0.2">
      <c r="A47" s="551">
        <v>5242</v>
      </c>
      <c r="B47" s="540" t="s">
        <v>856</v>
      </c>
      <c r="C47" s="544"/>
      <c r="D47" s="544"/>
      <c r="E47" s="544"/>
      <c r="H47" s="537">
        <f>+J15</f>
        <v>12095</v>
      </c>
      <c r="I47" s="568">
        <f>+L15</f>
        <v>12095</v>
      </c>
      <c r="J47" s="572">
        <f t="shared" si="4"/>
        <v>0</v>
      </c>
      <c r="K47" s="545" t="str">
        <f t="shared" si="5"/>
        <v/>
      </c>
      <c r="L47" s="553"/>
      <c r="M47" s="572"/>
      <c r="N47" s="25"/>
      <c r="O47" s="29"/>
      <c r="P47" s="29"/>
      <c r="Q47" s="29"/>
      <c r="R47"/>
    </row>
    <row r="48" spans="1:18" x14ac:dyDescent="0.2">
      <c r="A48" s="551">
        <v>5248</v>
      </c>
      <c r="B48" s="540" t="s">
        <v>866</v>
      </c>
      <c r="C48" s="546"/>
      <c r="D48" s="546"/>
      <c r="E48" s="546"/>
      <c r="H48" s="537">
        <f t="shared" ref="H48:H54" si="7">+J18</f>
        <v>1400</v>
      </c>
      <c r="I48" s="568">
        <f t="shared" ref="I48:I54" si="8">+L18</f>
        <v>1400</v>
      </c>
      <c r="J48" s="572">
        <f t="shared" si="4"/>
        <v>0</v>
      </c>
      <c r="K48" s="545" t="str">
        <f t="shared" si="5"/>
        <v/>
      </c>
      <c r="L48" s="538"/>
      <c r="M48" s="539"/>
      <c r="N48" s="25"/>
      <c r="O48" s="29"/>
      <c r="P48" s="29"/>
      <c r="Q48" s="29"/>
      <c r="R48"/>
    </row>
    <row r="49" spans="1:18" x14ac:dyDescent="0.2">
      <c r="A49" s="551">
        <v>5314</v>
      </c>
      <c r="B49" s="540" t="s">
        <v>134</v>
      </c>
      <c r="C49" s="546"/>
      <c r="D49" s="546"/>
      <c r="E49" s="546"/>
      <c r="H49" s="537">
        <f t="shared" si="7"/>
        <v>700</v>
      </c>
      <c r="I49" s="568">
        <f t="shared" si="8"/>
        <v>700</v>
      </c>
      <c r="J49" s="572">
        <f t="shared" si="4"/>
        <v>0</v>
      </c>
      <c r="K49" s="545" t="str">
        <f t="shared" si="5"/>
        <v/>
      </c>
      <c r="L49" s="538"/>
      <c r="M49" s="539"/>
      <c r="N49" s="25"/>
      <c r="O49" s="29"/>
      <c r="P49" s="29"/>
      <c r="Q49" s="29"/>
      <c r="R49"/>
    </row>
    <row r="50" spans="1:18" hidden="1" x14ac:dyDescent="0.2">
      <c r="A50" s="551">
        <v>5341</v>
      </c>
      <c r="B50" s="540" t="s">
        <v>136</v>
      </c>
      <c r="C50" s="544">
        <v>414.26</v>
      </c>
      <c r="D50" s="544">
        <v>403.42</v>
      </c>
      <c r="E50" s="544">
        <v>408.49</v>
      </c>
      <c r="H50" s="537">
        <f t="shared" si="7"/>
        <v>0</v>
      </c>
      <c r="I50" s="568">
        <f t="shared" si="8"/>
        <v>0</v>
      </c>
      <c r="J50" s="572">
        <f t="shared" si="4"/>
        <v>0</v>
      </c>
      <c r="K50" s="545" t="str">
        <f t="shared" si="5"/>
        <v/>
      </c>
      <c r="L50" s="538"/>
      <c r="M50" s="539"/>
      <c r="N50" s="25"/>
      <c r="O50" s="29"/>
      <c r="P50" s="29"/>
      <c r="Q50" s="29"/>
      <c r="R50"/>
    </row>
    <row r="51" spans="1:18" x14ac:dyDescent="0.2">
      <c r="A51" s="551">
        <v>5342</v>
      </c>
      <c r="B51" s="540" t="s">
        <v>858</v>
      </c>
      <c r="C51" s="544"/>
      <c r="D51" s="544"/>
      <c r="E51" s="544"/>
      <c r="H51" s="537">
        <f t="shared" si="7"/>
        <v>1200</v>
      </c>
      <c r="I51" s="568">
        <f t="shared" si="8"/>
        <v>1200</v>
      </c>
      <c r="J51" s="572">
        <f t="shared" si="4"/>
        <v>0</v>
      </c>
      <c r="K51" s="545" t="str">
        <f t="shared" si="5"/>
        <v/>
      </c>
      <c r="L51" s="538"/>
      <c r="M51" s="539"/>
      <c r="N51" s="25"/>
      <c r="O51" s="29"/>
      <c r="P51" s="29"/>
      <c r="Q51" s="29"/>
      <c r="R51"/>
    </row>
    <row r="52" spans="1:18" x14ac:dyDescent="0.2">
      <c r="A52" s="551">
        <v>5500</v>
      </c>
      <c r="B52" s="540" t="s">
        <v>870</v>
      </c>
      <c r="C52" s="546"/>
      <c r="D52" s="546"/>
      <c r="E52" s="546"/>
      <c r="H52" s="537">
        <f t="shared" si="7"/>
        <v>0</v>
      </c>
      <c r="I52" s="568">
        <f t="shared" si="8"/>
        <v>0</v>
      </c>
      <c r="J52" s="572">
        <f t="shared" si="4"/>
        <v>0</v>
      </c>
      <c r="K52" s="545" t="str">
        <f t="shared" si="5"/>
        <v/>
      </c>
      <c r="L52" s="538"/>
      <c r="M52" s="539"/>
      <c r="N52" s="25"/>
      <c r="O52" s="29"/>
      <c r="P52" s="29"/>
      <c r="Q52" s="29"/>
      <c r="R52"/>
    </row>
    <row r="53" spans="1:18" x14ac:dyDescent="0.2">
      <c r="A53" s="551">
        <v>5710</v>
      </c>
      <c r="B53" s="540" t="s">
        <v>529</v>
      </c>
      <c r="C53" s="546"/>
      <c r="D53" s="546"/>
      <c r="E53" s="546"/>
      <c r="H53" s="537">
        <f t="shared" si="7"/>
        <v>400</v>
      </c>
      <c r="I53" s="568">
        <f t="shared" si="8"/>
        <v>400</v>
      </c>
      <c r="J53" s="572">
        <f t="shared" si="4"/>
        <v>0</v>
      </c>
      <c r="K53" s="545" t="str">
        <f t="shared" si="5"/>
        <v/>
      </c>
      <c r="L53" s="538"/>
      <c r="M53" s="539"/>
      <c r="N53" s="25"/>
      <c r="O53" s="29"/>
      <c r="P53" s="29"/>
      <c r="Q53" s="29"/>
      <c r="R53"/>
    </row>
    <row r="54" spans="1:18" ht="13.5" thickBot="1" x14ac:dyDescent="0.25">
      <c r="A54" s="551">
        <v>5730</v>
      </c>
      <c r="B54" s="540" t="s">
        <v>267</v>
      </c>
      <c r="C54" s="542"/>
      <c r="D54" s="542"/>
      <c r="E54" s="542"/>
      <c r="H54" s="537">
        <f t="shared" si="7"/>
        <v>400</v>
      </c>
      <c r="I54" s="568">
        <f t="shared" si="8"/>
        <v>400</v>
      </c>
      <c r="J54" s="578">
        <f t="shared" si="4"/>
        <v>0</v>
      </c>
      <c r="K54" s="545" t="str">
        <f t="shared" si="5"/>
        <v/>
      </c>
      <c r="L54" s="579"/>
      <c r="M54" s="578"/>
      <c r="N54" s="25"/>
      <c r="O54" s="29"/>
      <c r="P54" s="29"/>
      <c r="Q54" s="29"/>
      <c r="R54"/>
    </row>
    <row r="55" spans="1:18" x14ac:dyDescent="0.2">
      <c r="A55" s="4"/>
      <c r="B55" s="4"/>
      <c r="C55" s="25"/>
      <c r="D55" s="25"/>
      <c r="E55" s="25"/>
      <c r="F55" s="25"/>
      <c r="G55" s="25"/>
      <c r="H55" s="25"/>
      <c r="I55" s="25"/>
      <c r="J55" s="25"/>
      <c r="K55" s="4"/>
      <c r="L55" s="25"/>
      <c r="M55" s="25"/>
      <c r="N55" s="25"/>
      <c r="O55" s="4"/>
      <c r="P55" s="4"/>
      <c r="Q55" s="4"/>
      <c r="R55"/>
    </row>
    <row r="56" spans="1:18" x14ac:dyDescent="0.2">
      <c r="A56" s="4"/>
      <c r="B56" s="4" t="s">
        <v>1600</v>
      </c>
      <c r="C56" s="25"/>
      <c r="D56" s="25"/>
      <c r="E56" s="25"/>
      <c r="F56" s="25"/>
      <c r="G56" s="25"/>
      <c r="H56" s="849">
        <f>SUM(H43:H55)</f>
        <v>139448</v>
      </c>
      <c r="I56" s="849">
        <f>SUM(I43:I55)</f>
        <v>143539</v>
      </c>
      <c r="J56" s="208">
        <f t="shared" ref="J56" si="9">+I56-H56</f>
        <v>4091</v>
      </c>
      <c r="K56" s="850">
        <f t="shared" ref="K56" si="10">IF(H56+I56&lt;&gt;0,IF(H56&lt;&gt;0,IF(J56&lt;&gt;0,ROUND((+J56/H56),4),""),1),"")</f>
        <v>2.93E-2</v>
      </c>
      <c r="L56" s="25"/>
      <c r="M56" s="25"/>
      <c r="N56" s="25"/>
      <c r="O56" s="4"/>
      <c r="P56" s="4"/>
      <c r="Q56" s="4"/>
      <c r="R56"/>
    </row>
    <row r="57" spans="1:18" x14ac:dyDescent="0.2">
      <c r="A57" s="4"/>
      <c r="B57" s="4"/>
      <c r="C57" s="25"/>
      <c r="D57" s="25"/>
      <c r="E57" s="25"/>
      <c r="F57" s="25"/>
      <c r="G57" s="25"/>
      <c r="H57" s="25"/>
      <c r="I57" s="25"/>
      <c r="J57" s="25"/>
      <c r="K57" s="4"/>
      <c r="L57" s="25"/>
      <c r="M57" s="25"/>
      <c r="N57" s="25"/>
      <c r="O57" s="4"/>
      <c r="P57" s="4"/>
      <c r="Q57" s="4"/>
      <c r="R57"/>
    </row>
    <row r="58" spans="1:18" x14ac:dyDescent="0.2">
      <c r="A58" s="4"/>
      <c r="B58" s="4"/>
      <c r="C58" s="25"/>
      <c r="D58" s="25"/>
      <c r="E58" s="25"/>
      <c r="F58" s="25"/>
      <c r="G58" s="25"/>
      <c r="H58" s="25"/>
      <c r="I58" s="25"/>
      <c r="J58" s="25"/>
      <c r="K58" s="4"/>
      <c r="L58" s="25"/>
      <c r="M58" s="25"/>
      <c r="N58" s="25"/>
      <c r="O58" s="4"/>
      <c r="P58" s="4"/>
      <c r="Q58" s="4"/>
      <c r="R58"/>
    </row>
    <row r="59" spans="1:18" x14ac:dyDescent="0.2">
      <c r="A59" s="4"/>
      <c r="B59" s="4"/>
      <c r="C59" s="25"/>
      <c r="D59" s="25"/>
      <c r="E59" s="25"/>
      <c r="F59" s="25"/>
      <c r="G59" s="25"/>
      <c r="H59" s="25"/>
      <c r="I59" s="25"/>
      <c r="J59" s="25"/>
      <c r="K59" s="4"/>
      <c r="L59" s="25"/>
      <c r="M59" s="25"/>
      <c r="N59" s="25"/>
      <c r="O59" s="4"/>
      <c r="P59" s="4"/>
      <c r="Q59" s="4"/>
      <c r="R59"/>
    </row>
    <row r="60" spans="1:18" x14ac:dyDescent="0.2">
      <c r="A60" s="4"/>
      <c r="B60" s="4"/>
      <c r="C60" s="25"/>
      <c r="D60" s="25"/>
      <c r="E60" s="25"/>
      <c r="F60" s="25"/>
      <c r="G60" s="25"/>
      <c r="H60" s="25"/>
      <c r="I60" s="25"/>
      <c r="J60" s="25"/>
      <c r="K60" s="4"/>
      <c r="L60" s="25"/>
      <c r="M60" s="25"/>
      <c r="N60" s="25"/>
      <c r="O60" s="4"/>
      <c r="P60" s="4"/>
      <c r="Q60" s="4"/>
      <c r="R60"/>
    </row>
    <row r="61" spans="1:18" x14ac:dyDescent="0.2">
      <c r="A61" s="4"/>
      <c r="B61" s="4"/>
      <c r="C61" s="25"/>
      <c r="D61" s="25"/>
      <c r="E61" s="25"/>
      <c r="F61" s="25"/>
      <c r="G61" s="25"/>
      <c r="H61" s="25"/>
      <c r="I61" s="25"/>
      <c r="J61" s="25"/>
      <c r="K61" s="4"/>
      <c r="L61" s="25"/>
      <c r="M61" s="25"/>
      <c r="N61" s="25"/>
      <c r="O61" s="4"/>
      <c r="P61" s="4"/>
      <c r="Q61" s="4"/>
      <c r="R61"/>
    </row>
    <row r="62" spans="1:18" x14ac:dyDescent="0.2">
      <c r="A62" s="4"/>
      <c r="B62" s="4"/>
      <c r="C62" s="25"/>
      <c r="D62" s="25"/>
      <c r="E62" s="25"/>
      <c r="F62" s="25"/>
      <c r="G62" s="25"/>
      <c r="H62" s="25"/>
      <c r="I62" s="25"/>
      <c r="J62" s="25"/>
      <c r="K62" s="4"/>
      <c r="L62" s="25"/>
      <c r="M62" s="25"/>
      <c r="N62" s="25"/>
      <c r="O62" s="4"/>
      <c r="P62" s="4"/>
      <c r="Q62" s="4"/>
      <c r="R62"/>
    </row>
    <row r="63" spans="1:18" x14ac:dyDescent="0.2">
      <c r="A63" s="4"/>
      <c r="B63" s="4"/>
      <c r="C63" s="25"/>
      <c r="D63" s="25"/>
      <c r="E63" s="25"/>
      <c r="F63" s="25"/>
      <c r="G63" s="25"/>
      <c r="H63" s="25"/>
      <c r="I63" s="25"/>
      <c r="J63" s="25"/>
      <c r="K63" s="4"/>
      <c r="L63" s="25"/>
      <c r="M63" s="25"/>
      <c r="N63" s="25"/>
      <c r="O63" s="4"/>
      <c r="P63" s="4"/>
      <c r="Q63" s="4"/>
      <c r="R63"/>
    </row>
    <row r="64" spans="1:18" x14ac:dyDescent="0.2">
      <c r="A64" s="4"/>
      <c r="B64" s="4"/>
      <c r="C64" s="25"/>
      <c r="D64" s="25"/>
      <c r="E64" s="25"/>
      <c r="F64" s="25"/>
      <c r="G64" s="25"/>
      <c r="H64" s="25"/>
      <c r="I64" s="25"/>
      <c r="J64" s="25"/>
      <c r="K64" s="4"/>
      <c r="L64" s="25"/>
      <c r="M64" s="25"/>
      <c r="N64" s="25"/>
      <c r="O64" s="4"/>
      <c r="P64" s="4"/>
      <c r="Q64" s="4"/>
      <c r="R64"/>
    </row>
    <row r="65" spans="1:18" x14ac:dyDescent="0.2">
      <c r="A65" s="4"/>
      <c r="B65" s="4"/>
      <c r="C65" s="25"/>
      <c r="D65" s="25"/>
      <c r="E65" s="25"/>
      <c r="F65" s="25"/>
      <c r="G65" s="25"/>
      <c r="H65" s="25"/>
      <c r="I65" s="25"/>
      <c r="J65" s="25"/>
      <c r="K65" s="4"/>
      <c r="L65" s="25"/>
      <c r="M65" s="25"/>
      <c r="N65" s="25"/>
      <c r="O65" s="4"/>
      <c r="P65" s="4"/>
      <c r="Q65" s="4"/>
      <c r="R65"/>
    </row>
    <row r="66" spans="1:18" x14ac:dyDescent="0.2">
      <c r="A66" s="4"/>
      <c r="B66" s="4"/>
      <c r="C66" s="25"/>
      <c r="D66" s="25"/>
      <c r="E66" s="25"/>
      <c r="F66" s="25"/>
      <c r="G66" s="25"/>
      <c r="H66" s="25"/>
      <c r="I66" s="25"/>
      <c r="J66" s="25"/>
      <c r="K66" s="4"/>
      <c r="L66" s="25"/>
      <c r="M66" s="25"/>
      <c r="N66" s="25"/>
      <c r="O66" s="4"/>
      <c r="P66" s="4"/>
      <c r="Q66" s="4"/>
      <c r="R66"/>
    </row>
    <row r="67" spans="1:18" x14ac:dyDescent="0.2">
      <c r="A67" s="4"/>
      <c r="B67" s="4"/>
      <c r="C67" s="25"/>
      <c r="D67" s="25"/>
      <c r="E67" s="25"/>
      <c r="F67" s="25"/>
      <c r="G67" s="25"/>
      <c r="H67" s="25"/>
      <c r="I67" s="25"/>
      <c r="J67" s="25"/>
      <c r="K67" s="4"/>
      <c r="L67" s="25"/>
      <c r="M67" s="25"/>
      <c r="N67" s="25"/>
      <c r="O67" s="4"/>
      <c r="P67" s="4"/>
      <c r="Q67" s="4"/>
      <c r="R67"/>
    </row>
    <row r="68" spans="1:18" x14ac:dyDescent="0.2">
      <c r="A68" s="4"/>
      <c r="B68" s="4"/>
      <c r="C68" s="25"/>
      <c r="D68" s="25"/>
      <c r="E68" s="25"/>
      <c r="F68" s="25"/>
      <c r="G68" s="25"/>
      <c r="H68" s="25"/>
      <c r="I68" s="25"/>
      <c r="J68" s="25"/>
      <c r="K68" s="4"/>
      <c r="L68" s="25"/>
      <c r="M68" s="25"/>
      <c r="N68" s="25"/>
      <c r="O68" s="4"/>
      <c r="P68" s="4"/>
      <c r="Q68" s="4"/>
      <c r="R68"/>
    </row>
    <row r="69" spans="1:18" x14ac:dyDescent="0.2">
      <c r="A69" s="4"/>
      <c r="B69" s="4"/>
      <c r="C69" s="25"/>
      <c r="D69" s="25"/>
      <c r="E69" s="25"/>
      <c r="F69" s="25"/>
      <c r="G69" s="25"/>
      <c r="H69" s="25"/>
      <c r="I69" s="25"/>
      <c r="J69" s="25"/>
      <c r="K69" s="4"/>
      <c r="L69" s="25"/>
      <c r="M69" s="25"/>
      <c r="N69" s="25"/>
      <c r="O69" s="4"/>
      <c r="P69" s="4"/>
      <c r="Q69" s="4"/>
      <c r="R69"/>
    </row>
    <row r="70" spans="1:18" x14ac:dyDescent="0.2">
      <c r="A70" s="4"/>
      <c r="B70" s="4"/>
      <c r="C70" s="25"/>
      <c r="D70" s="25"/>
      <c r="E70" s="25"/>
      <c r="F70" s="25"/>
      <c r="G70" s="25"/>
      <c r="H70" s="25"/>
      <c r="I70" s="25"/>
      <c r="J70" s="25"/>
      <c r="K70" s="4"/>
      <c r="L70" s="25"/>
      <c r="M70" s="25"/>
      <c r="N70" s="25"/>
      <c r="O70" s="4"/>
      <c r="P70" s="4"/>
      <c r="Q70" s="4"/>
      <c r="R70"/>
    </row>
    <row r="71" spans="1:18" x14ac:dyDescent="0.2">
      <c r="A71" s="4"/>
      <c r="B71" s="4"/>
      <c r="C71" s="25"/>
      <c r="D71" s="25"/>
      <c r="E71" s="25"/>
      <c r="F71" s="25"/>
      <c r="G71" s="25"/>
      <c r="H71" s="25"/>
      <c r="I71" s="25"/>
      <c r="J71" s="25"/>
      <c r="K71" s="4"/>
      <c r="L71" s="25"/>
      <c r="M71" s="25"/>
      <c r="N71" s="25"/>
      <c r="O71" s="4"/>
      <c r="P71" s="4"/>
      <c r="Q71" s="4"/>
      <c r="R71"/>
    </row>
    <row r="72" spans="1:18" x14ac:dyDescent="0.2">
      <c r="A72" s="4"/>
      <c r="B72" s="4"/>
      <c r="C72" s="25"/>
      <c r="D72" s="25"/>
      <c r="E72" s="25"/>
      <c r="F72" s="25"/>
      <c r="G72" s="25"/>
      <c r="H72" s="25"/>
      <c r="I72" s="25"/>
      <c r="J72" s="25"/>
      <c r="K72" s="4"/>
      <c r="L72" s="25"/>
      <c r="M72" s="25"/>
      <c r="N72" s="25"/>
      <c r="O72" s="4"/>
      <c r="P72" s="4"/>
      <c r="Q72" s="4"/>
      <c r="R72"/>
    </row>
    <row r="73" spans="1:18" x14ac:dyDescent="0.2">
      <c r="A73" s="4"/>
      <c r="B73" s="4"/>
      <c r="C73" s="25"/>
      <c r="D73" s="25"/>
      <c r="E73" s="25"/>
      <c r="F73" s="25"/>
      <c r="G73" s="25"/>
      <c r="H73" s="25"/>
      <c r="I73" s="25"/>
      <c r="J73" s="25"/>
      <c r="K73" s="4"/>
      <c r="L73" s="25"/>
      <c r="M73" s="25"/>
      <c r="N73" s="25"/>
      <c r="O73" s="4"/>
      <c r="P73" s="4"/>
      <c r="Q73" s="4"/>
      <c r="R73"/>
    </row>
    <row r="74" spans="1:18" x14ac:dyDescent="0.2">
      <c r="A74" s="4"/>
      <c r="B74" s="4"/>
      <c r="C74" s="25"/>
      <c r="D74" s="25"/>
      <c r="E74" s="25"/>
      <c r="F74" s="25"/>
      <c r="G74" s="25"/>
      <c r="H74" s="25"/>
      <c r="I74" s="25"/>
      <c r="J74" s="25"/>
      <c r="K74" s="4"/>
      <c r="L74" s="25"/>
      <c r="M74" s="25"/>
      <c r="N74" s="25"/>
      <c r="O74" s="4"/>
      <c r="P74" s="4"/>
      <c r="Q74" s="4"/>
      <c r="R74"/>
    </row>
    <row r="75" spans="1:18" x14ac:dyDescent="0.2">
      <c r="A75" s="4"/>
      <c r="B75" s="4"/>
      <c r="C75" s="25"/>
      <c r="D75" s="25"/>
      <c r="E75" s="25"/>
      <c r="F75" s="25"/>
      <c r="G75" s="25"/>
      <c r="H75" s="25"/>
      <c r="I75" s="25"/>
      <c r="J75" s="25"/>
      <c r="K75" s="4"/>
      <c r="L75" s="25"/>
      <c r="M75" s="25"/>
      <c r="N75" s="25"/>
      <c r="O75" s="4"/>
      <c r="P75" s="4"/>
      <c r="Q75" s="4"/>
      <c r="R75"/>
    </row>
    <row r="76" spans="1:18" x14ac:dyDescent="0.2">
      <c r="A76" s="4"/>
      <c r="B76" s="4"/>
      <c r="C76" s="25"/>
      <c r="D76" s="25"/>
      <c r="E76" s="25"/>
      <c r="F76" s="25"/>
      <c r="G76" s="25"/>
      <c r="H76" s="25"/>
      <c r="I76" s="25"/>
      <c r="J76" s="25"/>
      <c r="K76" s="4"/>
      <c r="L76" s="25"/>
      <c r="M76" s="25"/>
      <c r="N76" s="25"/>
      <c r="O76" s="4"/>
      <c r="P76" s="4"/>
      <c r="Q76" s="4"/>
      <c r="R76"/>
    </row>
    <row r="77" spans="1:18" x14ac:dyDescent="0.2">
      <c r="A77" s="4"/>
      <c r="B77" s="4"/>
      <c r="C77" s="25"/>
      <c r="D77" s="25"/>
      <c r="E77" s="25"/>
      <c r="F77" s="25"/>
      <c r="G77" s="25"/>
      <c r="H77" s="25"/>
      <c r="I77" s="25"/>
      <c r="J77" s="25"/>
      <c r="K77" s="4"/>
      <c r="L77" s="25"/>
      <c r="M77" s="25"/>
      <c r="N77" s="25"/>
      <c r="O77" s="4"/>
      <c r="P77" s="4"/>
      <c r="Q77" s="4"/>
      <c r="R77"/>
    </row>
    <row r="78" spans="1:18" x14ac:dyDescent="0.2">
      <c r="A78" s="4"/>
      <c r="B78" s="4"/>
      <c r="C78" s="25"/>
      <c r="D78" s="25"/>
      <c r="E78" s="25"/>
      <c r="F78" s="25"/>
      <c r="G78" s="25"/>
      <c r="H78" s="25"/>
      <c r="I78" s="25"/>
      <c r="J78" s="25"/>
      <c r="K78" s="4"/>
      <c r="L78" s="25"/>
      <c r="M78" s="25"/>
      <c r="N78" s="25"/>
      <c r="O78" s="4"/>
      <c r="P78" s="4"/>
      <c r="Q78" s="4"/>
      <c r="R78"/>
    </row>
    <row r="79" spans="1:18" x14ac:dyDescent="0.2">
      <c r="A79" s="4"/>
      <c r="B79" s="4"/>
      <c r="C79" s="25"/>
      <c r="D79" s="25"/>
      <c r="E79" s="25"/>
      <c r="F79" s="25"/>
      <c r="G79" s="25"/>
      <c r="H79" s="25"/>
      <c r="I79" s="25"/>
      <c r="J79" s="25"/>
      <c r="K79" s="4"/>
      <c r="L79" s="25"/>
      <c r="M79" s="25"/>
      <c r="N79" s="25"/>
      <c r="O79" s="4"/>
      <c r="P79" s="4"/>
      <c r="Q79" s="4"/>
      <c r="R79"/>
    </row>
    <row r="80" spans="1:18" x14ac:dyDescent="0.2">
      <c r="A80" s="4"/>
      <c r="B80" s="4"/>
      <c r="C80" s="25"/>
      <c r="D80" s="25"/>
      <c r="E80" s="25"/>
      <c r="F80" s="25"/>
      <c r="G80" s="25"/>
      <c r="H80" s="25"/>
      <c r="I80" s="25"/>
      <c r="J80" s="25"/>
      <c r="K80" s="4"/>
      <c r="L80" s="25"/>
      <c r="M80" s="25"/>
      <c r="N80" s="25"/>
      <c r="O80" s="4"/>
      <c r="P80" s="4"/>
      <c r="Q80" s="4"/>
      <c r="R80"/>
    </row>
    <row r="81" spans="1:18" x14ac:dyDescent="0.2">
      <c r="A81" s="4"/>
      <c r="B81" s="4"/>
      <c r="C81" s="25"/>
      <c r="D81" s="25"/>
      <c r="E81" s="25"/>
      <c r="F81" s="25"/>
      <c r="G81" s="25"/>
      <c r="H81" s="25"/>
      <c r="I81" s="25"/>
      <c r="J81" s="25"/>
      <c r="K81" s="4"/>
      <c r="L81" s="25"/>
      <c r="M81" s="25"/>
      <c r="N81" s="25"/>
      <c r="O81" s="4"/>
      <c r="P81" s="4"/>
      <c r="Q81" s="4"/>
      <c r="R81"/>
    </row>
    <row r="82" spans="1:18" x14ac:dyDescent="0.2">
      <c r="A82" s="4"/>
      <c r="B82" s="4"/>
      <c r="C82" s="25"/>
      <c r="D82" s="25"/>
      <c r="E82" s="25"/>
      <c r="F82" s="25"/>
      <c r="G82" s="25"/>
      <c r="H82" s="25"/>
      <c r="I82" s="25"/>
      <c r="J82" s="25"/>
      <c r="K82" s="4"/>
      <c r="L82" s="25"/>
      <c r="M82" s="25"/>
      <c r="N82" s="25"/>
      <c r="O82" s="4"/>
      <c r="P82" s="4"/>
      <c r="Q82" s="4"/>
      <c r="R82"/>
    </row>
    <row r="83" spans="1:18" x14ac:dyDescent="0.2">
      <c r="A83" s="4"/>
      <c r="B83" s="4"/>
      <c r="C83" s="25"/>
      <c r="D83" s="25"/>
      <c r="E83" s="25"/>
      <c r="F83" s="25"/>
      <c r="G83" s="25"/>
      <c r="H83" s="25"/>
      <c r="I83" s="25"/>
      <c r="J83" s="25"/>
      <c r="K83" s="4"/>
      <c r="L83" s="25"/>
      <c r="M83" s="25"/>
      <c r="N83" s="25"/>
      <c r="O83" s="4"/>
      <c r="P83" s="4"/>
      <c r="Q83" s="4"/>
      <c r="R83"/>
    </row>
    <row r="84" spans="1:18" x14ac:dyDescent="0.2">
      <c r="A84" s="4"/>
      <c r="B84" s="4"/>
      <c r="C84" s="25"/>
      <c r="D84" s="25"/>
      <c r="E84" s="25"/>
      <c r="F84" s="25"/>
      <c r="G84" s="25"/>
      <c r="H84" s="25"/>
      <c r="I84" s="25"/>
      <c r="J84" s="25"/>
      <c r="K84" s="4"/>
      <c r="L84" s="25"/>
      <c r="M84" s="25"/>
      <c r="N84" s="25"/>
      <c r="O84" s="4"/>
      <c r="P84" s="4"/>
      <c r="Q84" s="4"/>
      <c r="R84"/>
    </row>
    <row r="85" spans="1:18" x14ac:dyDescent="0.2">
      <c r="A85" s="4"/>
      <c r="B85" s="4"/>
      <c r="C85" s="25"/>
      <c r="D85" s="25"/>
      <c r="E85" s="25"/>
      <c r="F85" s="25"/>
      <c r="G85" s="25"/>
      <c r="H85" s="25"/>
      <c r="I85" s="25"/>
      <c r="J85" s="25"/>
      <c r="K85" s="4"/>
      <c r="L85" s="25"/>
      <c r="M85" s="25"/>
      <c r="N85" s="25"/>
      <c r="O85" s="4"/>
      <c r="P85" s="4"/>
      <c r="Q85" s="4"/>
      <c r="R85"/>
    </row>
    <row r="86" spans="1:18" x14ac:dyDescent="0.2">
      <c r="A86" s="4"/>
      <c r="B86" s="4"/>
      <c r="C86" s="25"/>
      <c r="D86" s="25"/>
      <c r="E86" s="25"/>
      <c r="F86" s="25"/>
      <c r="G86" s="25"/>
      <c r="H86" s="25"/>
      <c r="I86" s="25"/>
      <c r="J86" s="25"/>
      <c r="K86" s="4"/>
      <c r="L86" s="25"/>
      <c r="M86" s="25"/>
      <c r="N86" s="25"/>
      <c r="O86" s="4"/>
      <c r="P86" s="4"/>
      <c r="Q86" s="4"/>
      <c r="R86"/>
    </row>
    <row r="87" spans="1:18" x14ac:dyDescent="0.2">
      <c r="A87" s="4"/>
      <c r="B87" s="4"/>
      <c r="C87" s="25"/>
      <c r="D87" s="25"/>
      <c r="E87" s="25"/>
      <c r="F87" s="25"/>
      <c r="G87" s="25"/>
      <c r="H87" s="25"/>
      <c r="I87" s="25"/>
      <c r="J87" s="25"/>
      <c r="K87" s="4"/>
      <c r="L87" s="25"/>
      <c r="M87" s="25"/>
      <c r="N87" s="25"/>
      <c r="O87" s="4"/>
      <c r="P87" s="4"/>
      <c r="Q87" s="4"/>
      <c r="R87"/>
    </row>
    <row r="88" spans="1:18" x14ac:dyDescent="0.2">
      <c r="A88" s="4"/>
      <c r="B88" s="4"/>
      <c r="C88" s="25"/>
      <c r="D88" s="25"/>
      <c r="E88" s="25"/>
      <c r="F88" s="25"/>
      <c r="G88" s="25"/>
      <c r="H88" s="25"/>
      <c r="I88" s="25"/>
      <c r="J88" s="25"/>
      <c r="K88" s="4"/>
      <c r="L88" s="25"/>
      <c r="M88" s="25"/>
      <c r="N88" s="25"/>
      <c r="O88" s="4"/>
      <c r="P88" s="4"/>
      <c r="Q88" s="4"/>
      <c r="R88"/>
    </row>
    <row r="89" spans="1:18" x14ac:dyDescent="0.2">
      <c r="A89" s="4"/>
      <c r="B89" s="4"/>
      <c r="C89" s="25"/>
      <c r="D89" s="25"/>
      <c r="E89" s="25"/>
      <c r="F89" s="25"/>
      <c r="G89" s="25"/>
      <c r="H89" s="25"/>
      <c r="I89" s="25"/>
      <c r="J89" s="25"/>
      <c r="K89" s="4"/>
      <c r="L89" s="25"/>
      <c r="M89" s="25"/>
      <c r="N89" s="25"/>
      <c r="O89" s="4"/>
      <c r="P89" s="4"/>
      <c r="Q89" s="4"/>
      <c r="R89"/>
    </row>
    <row r="90" spans="1:18" x14ac:dyDescent="0.2">
      <c r="A90" s="4"/>
      <c r="B90" s="4"/>
      <c r="C90" s="25"/>
      <c r="D90" s="25"/>
      <c r="E90" s="25"/>
      <c r="F90" s="25"/>
      <c r="G90" s="25"/>
      <c r="H90" s="25"/>
      <c r="I90" s="25"/>
      <c r="J90" s="25"/>
      <c r="K90" s="4"/>
      <c r="L90" s="25"/>
      <c r="M90" s="25"/>
      <c r="N90" s="25"/>
      <c r="O90" s="4"/>
      <c r="P90" s="4"/>
      <c r="Q90" s="4"/>
      <c r="R90"/>
    </row>
    <row r="91" spans="1:18" x14ac:dyDescent="0.2">
      <c r="A91" s="4"/>
      <c r="B91" s="4"/>
      <c r="C91" s="25"/>
      <c r="D91" s="25"/>
      <c r="E91" s="25"/>
      <c r="F91" s="25"/>
      <c r="G91" s="25"/>
      <c r="H91" s="25"/>
      <c r="I91" s="25"/>
      <c r="J91" s="25"/>
      <c r="K91" s="4"/>
      <c r="L91" s="25"/>
      <c r="M91" s="25"/>
      <c r="N91" s="25"/>
      <c r="O91" s="4"/>
      <c r="P91" s="4"/>
      <c r="Q91" s="4"/>
      <c r="R91"/>
    </row>
    <row r="92" spans="1:18" x14ac:dyDescent="0.2">
      <c r="A92" s="4"/>
      <c r="B92" s="4"/>
      <c r="C92" s="25"/>
      <c r="D92" s="25"/>
      <c r="E92" s="25"/>
      <c r="F92" s="25"/>
      <c r="G92" s="25"/>
      <c r="H92" s="25"/>
      <c r="I92" s="25"/>
      <c r="J92" s="25"/>
      <c r="K92" s="4"/>
      <c r="L92" s="25"/>
      <c r="M92" s="25"/>
      <c r="N92" s="25"/>
      <c r="O92" s="4"/>
      <c r="P92" s="4"/>
      <c r="Q92" s="4"/>
      <c r="R92"/>
    </row>
    <row r="93" spans="1:18" x14ac:dyDescent="0.2">
      <c r="A93" s="4"/>
      <c r="B93" s="4"/>
      <c r="C93" s="25"/>
      <c r="D93" s="25"/>
      <c r="E93" s="25"/>
      <c r="F93" s="25"/>
      <c r="G93" s="25"/>
      <c r="H93" s="25"/>
      <c r="I93" s="25"/>
      <c r="J93" s="25"/>
      <c r="K93" s="4"/>
      <c r="L93" s="25"/>
      <c r="M93" s="25"/>
      <c r="N93" s="25"/>
      <c r="O93" s="4"/>
      <c r="P93" s="4"/>
      <c r="Q93" s="4"/>
      <c r="R93"/>
    </row>
    <row r="94" spans="1:18" x14ac:dyDescent="0.2">
      <c r="A94" s="4"/>
      <c r="B94" s="4"/>
      <c r="C94" s="25"/>
      <c r="D94" s="25"/>
      <c r="E94" s="25"/>
      <c r="F94" s="25"/>
      <c r="G94" s="25"/>
      <c r="H94" s="25"/>
      <c r="I94" s="25"/>
      <c r="J94" s="25"/>
      <c r="K94" s="4"/>
      <c r="L94" s="25"/>
      <c r="M94" s="25"/>
      <c r="N94" s="25"/>
      <c r="O94" s="4"/>
      <c r="P94" s="4"/>
      <c r="Q94" s="4"/>
      <c r="R94"/>
    </row>
    <row r="95" spans="1:18" x14ac:dyDescent="0.2">
      <c r="A95" s="4"/>
      <c r="B95" s="4"/>
      <c r="C95" s="25"/>
      <c r="D95" s="25"/>
      <c r="E95" s="25"/>
      <c r="F95" s="25"/>
      <c r="G95" s="25"/>
      <c r="H95" s="25"/>
      <c r="I95" s="25"/>
      <c r="J95" s="25"/>
      <c r="K95" s="4"/>
      <c r="L95" s="25"/>
      <c r="M95" s="25"/>
      <c r="N95" s="25"/>
      <c r="O95" s="4"/>
      <c r="P95" s="4"/>
      <c r="Q95" s="4"/>
      <c r="R95"/>
    </row>
    <row r="96" spans="1:18" x14ac:dyDescent="0.2">
      <c r="A96" s="4"/>
      <c r="B96" s="4"/>
      <c r="C96" s="25"/>
      <c r="D96" s="25"/>
      <c r="E96" s="25"/>
      <c r="F96" s="25"/>
      <c r="G96" s="25"/>
      <c r="H96" s="25"/>
      <c r="I96" s="25"/>
      <c r="J96" s="25"/>
      <c r="K96" s="4"/>
      <c r="L96" s="25"/>
      <c r="M96" s="25"/>
      <c r="N96" s="25"/>
      <c r="O96" s="4"/>
      <c r="P96" s="4"/>
      <c r="Q96" s="4"/>
      <c r="R96"/>
    </row>
    <row r="97" spans="1:18" x14ac:dyDescent="0.2">
      <c r="A97" s="4"/>
      <c r="B97" s="4"/>
      <c r="C97" s="25"/>
      <c r="D97" s="25"/>
      <c r="E97" s="25"/>
      <c r="F97" s="25"/>
      <c r="G97" s="25"/>
      <c r="H97" s="25"/>
      <c r="I97" s="25"/>
      <c r="J97" s="25"/>
      <c r="K97" s="4"/>
      <c r="L97" s="25"/>
      <c r="M97" s="25"/>
      <c r="N97" s="25"/>
      <c r="O97" s="4"/>
      <c r="P97" s="4"/>
      <c r="Q97" s="4"/>
      <c r="R97"/>
    </row>
    <row r="98" spans="1:18" x14ac:dyDescent="0.2">
      <c r="A98" s="4"/>
      <c r="B98" s="4"/>
      <c r="C98" s="25"/>
      <c r="D98" s="25"/>
      <c r="E98" s="25"/>
      <c r="F98" s="25"/>
      <c r="G98" s="25"/>
      <c r="H98" s="25"/>
      <c r="I98" s="25"/>
      <c r="J98" s="25"/>
      <c r="K98" s="4"/>
      <c r="L98" s="25"/>
      <c r="M98" s="25"/>
      <c r="N98" s="25"/>
      <c r="O98" s="4"/>
      <c r="P98" s="4"/>
      <c r="Q98" s="4"/>
      <c r="R98"/>
    </row>
    <row r="99" spans="1:18" x14ac:dyDescent="0.2">
      <c r="A99" s="4"/>
      <c r="B99" s="4"/>
      <c r="C99" s="25"/>
      <c r="D99" s="25"/>
      <c r="E99" s="25"/>
      <c r="F99" s="25"/>
      <c r="G99" s="25"/>
      <c r="H99" s="25"/>
      <c r="I99" s="25"/>
      <c r="J99" s="25"/>
      <c r="K99" s="4"/>
      <c r="L99" s="25"/>
      <c r="M99" s="25"/>
      <c r="N99" s="25"/>
      <c r="O99" s="4"/>
      <c r="P99" s="4"/>
      <c r="Q99" s="4"/>
      <c r="R99"/>
    </row>
    <row r="100" spans="1:18" x14ac:dyDescent="0.2">
      <c r="A100" s="4"/>
      <c r="B100" s="4"/>
      <c r="C100" s="25"/>
      <c r="D100" s="25"/>
      <c r="E100" s="25"/>
      <c r="F100" s="25"/>
      <c r="G100" s="25"/>
      <c r="H100" s="25"/>
      <c r="I100" s="25"/>
      <c r="J100" s="25"/>
      <c r="K100" s="4"/>
      <c r="L100" s="25"/>
      <c r="M100" s="25"/>
      <c r="N100" s="25"/>
      <c r="O100" s="4"/>
      <c r="P100" s="4"/>
      <c r="Q100" s="4"/>
      <c r="R100"/>
    </row>
    <row r="101" spans="1:18" x14ac:dyDescent="0.2">
      <c r="A101" s="4"/>
      <c r="B101" s="4"/>
      <c r="C101" s="25"/>
      <c r="D101" s="25"/>
      <c r="E101" s="25"/>
      <c r="F101" s="25"/>
      <c r="G101" s="25"/>
      <c r="H101" s="25"/>
      <c r="I101" s="25"/>
      <c r="J101" s="25"/>
      <c r="K101" s="4"/>
      <c r="L101" s="25"/>
      <c r="M101" s="25"/>
      <c r="N101" s="25"/>
      <c r="O101" s="4"/>
      <c r="P101" s="4"/>
      <c r="Q101" s="4"/>
      <c r="R101"/>
    </row>
    <row r="102" spans="1:18" x14ac:dyDescent="0.2">
      <c r="A102" s="4"/>
      <c r="B102" s="4"/>
      <c r="C102" s="25"/>
      <c r="D102" s="25"/>
      <c r="E102" s="25"/>
      <c r="F102" s="25"/>
      <c r="G102" s="25"/>
      <c r="H102" s="25"/>
      <c r="I102" s="25"/>
      <c r="J102" s="25"/>
      <c r="K102" s="4"/>
      <c r="L102" s="25"/>
      <c r="M102" s="25"/>
      <c r="N102" s="25"/>
      <c r="O102" s="4"/>
      <c r="P102" s="4"/>
      <c r="Q102" s="4"/>
      <c r="R102"/>
    </row>
    <row r="103" spans="1:18" x14ac:dyDescent="0.2">
      <c r="A103" s="4"/>
      <c r="B103" s="4"/>
      <c r="C103" s="25"/>
      <c r="D103" s="25"/>
      <c r="E103" s="25"/>
      <c r="F103" s="25"/>
      <c r="G103" s="25"/>
      <c r="H103" s="25"/>
      <c r="I103" s="25"/>
      <c r="J103" s="25"/>
      <c r="K103" s="4"/>
      <c r="L103" s="25"/>
      <c r="M103" s="25"/>
      <c r="N103" s="25"/>
      <c r="O103" s="4"/>
      <c r="P103" s="4"/>
      <c r="Q103" s="4"/>
      <c r="R103"/>
    </row>
    <row r="104" spans="1:18" x14ac:dyDescent="0.2">
      <c r="A104" s="4"/>
      <c r="B104" s="4"/>
      <c r="C104" s="25"/>
      <c r="D104" s="25"/>
      <c r="E104" s="25"/>
      <c r="F104" s="25"/>
      <c r="G104" s="25"/>
      <c r="H104" s="25"/>
      <c r="I104" s="25"/>
      <c r="J104" s="25"/>
      <c r="K104" s="4"/>
      <c r="L104" s="25"/>
      <c r="M104" s="25"/>
      <c r="N104" s="25"/>
      <c r="O104" s="4"/>
      <c r="P104" s="4"/>
      <c r="Q104" s="4"/>
      <c r="R104"/>
    </row>
    <row r="105" spans="1:18" x14ac:dyDescent="0.2">
      <c r="A105" s="4"/>
      <c r="B105" s="4"/>
      <c r="C105" s="25"/>
      <c r="D105" s="25"/>
      <c r="E105" s="25"/>
      <c r="F105" s="25"/>
      <c r="G105" s="25"/>
      <c r="H105" s="25"/>
      <c r="I105" s="25"/>
      <c r="J105" s="25"/>
      <c r="K105" s="4"/>
      <c r="L105" s="25"/>
      <c r="M105" s="25"/>
      <c r="N105" s="25"/>
      <c r="O105" s="4"/>
      <c r="P105" s="4"/>
      <c r="Q105" s="4"/>
      <c r="R105"/>
    </row>
    <row r="106" spans="1:18" x14ac:dyDescent="0.2">
      <c r="A106" s="4"/>
      <c r="B106" s="4"/>
      <c r="C106" s="25"/>
      <c r="D106" s="25"/>
      <c r="E106" s="25"/>
      <c r="F106" s="25"/>
      <c r="G106" s="25"/>
      <c r="H106" s="25"/>
      <c r="I106" s="25"/>
      <c r="J106" s="25"/>
      <c r="K106" s="4"/>
      <c r="L106" s="25"/>
      <c r="M106" s="25"/>
      <c r="N106" s="25"/>
      <c r="O106" s="4"/>
      <c r="P106" s="4"/>
      <c r="Q106" s="4"/>
      <c r="R106"/>
    </row>
    <row r="107" spans="1:18" x14ac:dyDescent="0.2">
      <c r="A107" s="4"/>
      <c r="B107" s="4"/>
      <c r="C107" s="25"/>
      <c r="D107" s="25"/>
      <c r="E107" s="25"/>
      <c r="F107" s="25"/>
      <c r="G107" s="25"/>
      <c r="H107" s="25"/>
      <c r="I107" s="25"/>
      <c r="J107" s="25"/>
      <c r="K107" s="4"/>
      <c r="L107" s="25"/>
      <c r="M107" s="25"/>
      <c r="N107" s="25"/>
      <c r="O107" s="4"/>
      <c r="P107" s="4"/>
      <c r="Q107" s="4"/>
      <c r="R107"/>
    </row>
    <row r="108" spans="1:18" x14ac:dyDescent="0.2">
      <c r="A108" s="4"/>
      <c r="B108" s="4"/>
      <c r="C108" s="25"/>
      <c r="D108" s="25"/>
      <c r="E108" s="25"/>
      <c r="F108" s="25"/>
      <c r="G108" s="25"/>
      <c r="H108" s="25"/>
      <c r="I108" s="25"/>
      <c r="J108" s="25"/>
      <c r="K108" s="4"/>
      <c r="L108" s="25"/>
      <c r="M108" s="25"/>
      <c r="N108" s="25"/>
      <c r="O108" s="4"/>
      <c r="P108" s="4"/>
      <c r="Q108" s="4"/>
      <c r="R108"/>
    </row>
    <row r="109" spans="1:18" x14ac:dyDescent="0.2">
      <c r="A109" s="4"/>
      <c r="B109" s="4"/>
      <c r="C109" s="25"/>
      <c r="D109" s="25"/>
      <c r="E109" s="25"/>
      <c r="F109" s="25"/>
      <c r="G109" s="25"/>
      <c r="H109" s="25"/>
      <c r="I109" s="25"/>
      <c r="J109" s="25"/>
      <c r="K109" s="4"/>
      <c r="L109" s="25"/>
      <c r="M109" s="25"/>
      <c r="N109" s="25"/>
      <c r="O109" s="4"/>
      <c r="P109" s="4"/>
      <c r="Q109" s="4"/>
      <c r="R109"/>
    </row>
    <row r="110" spans="1:18" x14ac:dyDescent="0.2">
      <c r="A110" s="4"/>
      <c r="B110" s="4"/>
      <c r="C110" s="25"/>
      <c r="D110" s="25"/>
      <c r="E110" s="25"/>
      <c r="F110" s="25"/>
      <c r="G110" s="25"/>
      <c r="H110" s="25"/>
      <c r="I110" s="25"/>
      <c r="J110" s="25"/>
      <c r="K110" s="4"/>
      <c r="L110" s="25"/>
      <c r="M110" s="25"/>
      <c r="N110" s="25"/>
      <c r="O110" s="4"/>
      <c r="P110" s="4"/>
      <c r="Q110" s="4"/>
      <c r="R110"/>
    </row>
    <row r="111" spans="1:18" x14ac:dyDescent="0.2">
      <c r="A111" s="4"/>
      <c r="B111" s="4"/>
      <c r="C111" s="25"/>
      <c r="D111" s="25"/>
      <c r="E111" s="25"/>
      <c r="F111" s="25"/>
      <c r="G111" s="25"/>
      <c r="H111" s="25"/>
      <c r="I111" s="25"/>
      <c r="J111" s="25"/>
      <c r="K111" s="4"/>
      <c r="L111" s="25"/>
      <c r="M111" s="25"/>
      <c r="N111" s="25"/>
      <c r="O111" s="4"/>
      <c r="P111" s="4"/>
      <c r="Q111" s="4"/>
      <c r="R111"/>
    </row>
    <row r="112" spans="1:18" x14ac:dyDescent="0.2">
      <c r="A112" s="4"/>
      <c r="B112" s="4"/>
      <c r="C112" s="25"/>
      <c r="D112" s="25"/>
      <c r="E112" s="25"/>
      <c r="F112" s="25"/>
      <c r="G112" s="25"/>
      <c r="H112" s="25"/>
      <c r="I112" s="25"/>
      <c r="J112" s="25"/>
      <c r="K112" s="4"/>
      <c r="L112" s="25"/>
      <c r="M112" s="25"/>
      <c r="N112" s="25"/>
      <c r="O112" s="4"/>
      <c r="P112" s="4"/>
      <c r="Q112" s="4"/>
      <c r="R112"/>
    </row>
    <row r="113" spans="1:18" x14ac:dyDescent="0.2">
      <c r="A113" s="4"/>
      <c r="B113" s="4"/>
      <c r="C113" s="25"/>
      <c r="D113" s="25"/>
      <c r="E113" s="25"/>
      <c r="F113" s="25"/>
      <c r="G113" s="25"/>
      <c r="H113" s="25"/>
      <c r="I113" s="25"/>
      <c r="J113" s="25"/>
      <c r="K113" s="4"/>
      <c r="L113" s="25"/>
      <c r="M113" s="25"/>
      <c r="N113" s="25"/>
      <c r="O113" s="4"/>
      <c r="P113" s="4"/>
      <c r="Q113" s="4"/>
      <c r="R113"/>
    </row>
    <row r="114" spans="1:18" x14ac:dyDescent="0.2">
      <c r="A114" s="4"/>
      <c r="B114" s="4"/>
      <c r="C114" s="25"/>
      <c r="D114" s="25"/>
      <c r="E114" s="25"/>
      <c r="F114" s="25"/>
      <c r="G114" s="25"/>
      <c r="H114" s="25"/>
      <c r="I114" s="25"/>
      <c r="J114" s="25"/>
      <c r="K114" s="4"/>
      <c r="L114" s="25"/>
      <c r="M114" s="25"/>
      <c r="N114" s="25"/>
      <c r="O114" s="4"/>
      <c r="P114" s="4"/>
      <c r="Q114" s="4"/>
      <c r="R114"/>
    </row>
    <row r="115" spans="1:18" x14ac:dyDescent="0.2">
      <c r="A115" s="4"/>
      <c r="B115" s="4"/>
      <c r="C115" s="25"/>
      <c r="D115" s="25"/>
      <c r="E115" s="25"/>
      <c r="F115" s="25"/>
      <c r="G115" s="25"/>
      <c r="H115" s="25"/>
      <c r="I115" s="25"/>
      <c r="J115" s="25"/>
      <c r="K115" s="4"/>
      <c r="L115" s="25"/>
      <c r="M115" s="25"/>
      <c r="N115" s="25"/>
      <c r="O115" s="4"/>
      <c r="P115" s="4"/>
      <c r="Q115" s="4"/>
      <c r="R115"/>
    </row>
    <row r="116" spans="1:18" x14ac:dyDescent="0.2">
      <c r="A116" s="4"/>
      <c r="B116" s="4"/>
      <c r="C116" s="25"/>
      <c r="D116" s="25"/>
      <c r="E116" s="25"/>
      <c r="F116" s="25"/>
      <c r="G116" s="25"/>
      <c r="H116" s="25"/>
      <c r="I116" s="25"/>
      <c r="J116" s="25"/>
      <c r="K116" s="4"/>
      <c r="L116" s="25"/>
      <c r="M116" s="25"/>
      <c r="N116" s="25"/>
      <c r="O116" s="4"/>
      <c r="P116" s="4"/>
      <c r="Q116" s="4"/>
      <c r="R116"/>
    </row>
    <row r="117" spans="1:18" x14ac:dyDescent="0.2">
      <c r="C117" s="121"/>
      <c r="R117"/>
    </row>
    <row r="118" spans="1:18" x14ac:dyDescent="0.2">
      <c r="C118" s="121"/>
      <c r="R118"/>
    </row>
    <row r="119" spans="1:18" x14ac:dyDescent="0.2">
      <c r="C119" s="121"/>
      <c r="R119"/>
    </row>
    <row r="120" spans="1:18" x14ac:dyDescent="0.2">
      <c r="C120" s="121"/>
      <c r="R120"/>
    </row>
    <row r="121" spans="1:18" x14ac:dyDescent="0.2">
      <c r="C121" s="121"/>
      <c r="R121"/>
    </row>
    <row r="122" spans="1:18" x14ac:dyDescent="0.2">
      <c r="C122" s="121"/>
      <c r="R122"/>
    </row>
    <row r="123" spans="1:18" x14ac:dyDescent="0.2">
      <c r="C123" s="121"/>
      <c r="R123"/>
    </row>
    <row r="124" spans="1:18" x14ac:dyDescent="0.2">
      <c r="C124" s="121"/>
      <c r="R124"/>
    </row>
    <row r="125" spans="1:18" x14ac:dyDescent="0.2">
      <c r="C125" s="121"/>
      <c r="R125"/>
    </row>
    <row r="126" spans="1:18" x14ac:dyDescent="0.2">
      <c r="C126" s="121"/>
      <c r="R126"/>
    </row>
    <row r="127" spans="1:18" x14ac:dyDescent="0.2">
      <c r="C127" s="121"/>
      <c r="R127"/>
    </row>
    <row r="128" spans="1:18" x14ac:dyDescent="0.2">
      <c r="C128" s="121"/>
      <c r="D128"/>
      <c r="E128"/>
      <c r="F128"/>
      <c r="G128"/>
      <c r="H128"/>
      <c r="I128"/>
      <c r="J128"/>
      <c r="L128"/>
      <c r="M128"/>
      <c r="N128"/>
      <c r="R128"/>
    </row>
    <row r="129" spans="3:18" x14ac:dyDescent="0.2">
      <c r="C129" s="121"/>
      <c r="D129"/>
      <c r="E129"/>
      <c r="F129"/>
      <c r="G129"/>
      <c r="H129"/>
      <c r="I129"/>
      <c r="J129"/>
      <c r="L129"/>
      <c r="M129"/>
      <c r="N129"/>
      <c r="R129"/>
    </row>
    <row r="130" spans="3:18" x14ac:dyDescent="0.2">
      <c r="C130" s="121"/>
      <c r="D130"/>
      <c r="E130"/>
      <c r="F130"/>
      <c r="G130"/>
      <c r="H130"/>
      <c r="I130"/>
      <c r="J130"/>
      <c r="L130"/>
      <c r="M130"/>
      <c r="N130"/>
      <c r="R130"/>
    </row>
    <row r="131" spans="3:18" x14ac:dyDescent="0.2">
      <c r="C131" s="121"/>
      <c r="D131"/>
      <c r="E131"/>
      <c r="F131"/>
      <c r="G131"/>
      <c r="H131"/>
      <c r="I131"/>
      <c r="J131"/>
      <c r="L131"/>
      <c r="M131"/>
      <c r="N131"/>
      <c r="R131"/>
    </row>
    <row r="132" spans="3:18" x14ac:dyDescent="0.2">
      <c r="C132" s="121"/>
      <c r="D132"/>
      <c r="E132"/>
      <c r="F132"/>
      <c r="G132"/>
      <c r="H132"/>
      <c r="I132"/>
      <c r="J132"/>
      <c r="L132"/>
      <c r="M132"/>
      <c r="N132"/>
      <c r="R132"/>
    </row>
    <row r="133" spans="3:18" x14ac:dyDescent="0.2">
      <c r="C133" s="121"/>
      <c r="D133"/>
      <c r="E133"/>
      <c r="F133"/>
      <c r="G133"/>
      <c r="H133"/>
      <c r="I133"/>
      <c r="J133"/>
      <c r="L133"/>
      <c r="M133"/>
      <c r="N133"/>
      <c r="R133"/>
    </row>
    <row r="134" spans="3:18" x14ac:dyDescent="0.2">
      <c r="C134" s="121"/>
      <c r="D134"/>
      <c r="E134"/>
      <c r="F134"/>
      <c r="G134"/>
      <c r="H134"/>
      <c r="I134"/>
      <c r="J134"/>
      <c r="L134"/>
      <c r="M134"/>
      <c r="N134"/>
      <c r="R134"/>
    </row>
    <row r="135" spans="3:18" x14ac:dyDescent="0.2">
      <c r="C135" s="121"/>
      <c r="D135"/>
      <c r="E135"/>
      <c r="F135"/>
      <c r="G135"/>
      <c r="H135"/>
      <c r="I135"/>
      <c r="J135"/>
      <c r="L135"/>
      <c r="M135"/>
      <c r="N135"/>
      <c r="R135"/>
    </row>
    <row r="136" spans="3:18" x14ac:dyDescent="0.2">
      <c r="C136" s="121"/>
      <c r="D136"/>
      <c r="E136"/>
      <c r="F136"/>
      <c r="G136"/>
      <c r="H136"/>
      <c r="I136"/>
      <c r="J136"/>
      <c r="L136"/>
      <c r="M136"/>
      <c r="N136"/>
      <c r="R136"/>
    </row>
    <row r="137" spans="3:18" x14ac:dyDescent="0.2">
      <c r="C137" s="121"/>
      <c r="D137"/>
      <c r="E137"/>
      <c r="F137"/>
      <c r="G137"/>
      <c r="H137"/>
      <c r="I137"/>
      <c r="J137"/>
      <c r="L137"/>
      <c r="M137"/>
      <c r="N137"/>
      <c r="R137"/>
    </row>
    <row r="138" spans="3:18" x14ac:dyDescent="0.2">
      <c r="C138" s="121"/>
      <c r="D138"/>
      <c r="E138"/>
      <c r="F138"/>
      <c r="G138"/>
      <c r="H138"/>
      <c r="I138"/>
      <c r="J138"/>
      <c r="L138"/>
      <c r="M138"/>
      <c r="N138"/>
      <c r="R138"/>
    </row>
    <row r="139" spans="3:18" x14ac:dyDescent="0.2">
      <c r="C139" s="121"/>
      <c r="D139"/>
      <c r="E139"/>
      <c r="F139"/>
      <c r="G139"/>
      <c r="H139"/>
      <c r="I139"/>
      <c r="J139"/>
      <c r="L139"/>
      <c r="M139"/>
      <c r="N139"/>
      <c r="R139"/>
    </row>
    <row r="140" spans="3:18" x14ac:dyDescent="0.2">
      <c r="C140" s="121"/>
      <c r="D140"/>
      <c r="E140"/>
      <c r="F140"/>
      <c r="G140"/>
      <c r="H140"/>
      <c r="I140"/>
      <c r="J140"/>
      <c r="L140"/>
      <c r="M140"/>
      <c r="N140"/>
      <c r="R140"/>
    </row>
    <row r="141" spans="3:18" x14ac:dyDescent="0.2">
      <c r="C141" s="121"/>
      <c r="D141"/>
      <c r="E141"/>
      <c r="F141"/>
      <c r="G141"/>
      <c r="H141"/>
      <c r="I141"/>
      <c r="J141"/>
      <c r="L141"/>
      <c r="M141"/>
      <c r="N141"/>
      <c r="R141"/>
    </row>
    <row r="142" spans="3:18" x14ac:dyDescent="0.2">
      <c r="C142" s="121"/>
      <c r="D142"/>
      <c r="E142"/>
      <c r="F142"/>
      <c r="G142"/>
      <c r="H142"/>
      <c r="I142"/>
      <c r="J142"/>
      <c r="L142"/>
      <c r="M142"/>
      <c r="N142"/>
      <c r="R142"/>
    </row>
    <row r="143" spans="3:18" x14ac:dyDescent="0.2">
      <c r="C143" s="121"/>
      <c r="D143"/>
      <c r="E143"/>
      <c r="F143"/>
      <c r="G143"/>
      <c r="H143"/>
      <c r="I143"/>
      <c r="J143"/>
      <c r="L143"/>
      <c r="M143"/>
      <c r="N143"/>
      <c r="R143"/>
    </row>
    <row r="144" spans="3:18" x14ac:dyDescent="0.2">
      <c r="C144" s="121"/>
      <c r="D144"/>
      <c r="E144"/>
      <c r="F144"/>
      <c r="G144"/>
      <c r="H144"/>
      <c r="I144"/>
      <c r="J144"/>
      <c r="L144"/>
      <c r="M144"/>
      <c r="N144"/>
      <c r="R144"/>
    </row>
    <row r="145" spans="3:18" x14ac:dyDescent="0.2">
      <c r="C145" s="121"/>
      <c r="D145"/>
      <c r="E145"/>
      <c r="F145"/>
      <c r="G145"/>
      <c r="H145"/>
      <c r="I145"/>
      <c r="J145"/>
      <c r="L145"/>
      <c r="M145"/>
      <c r="N145"/>
      <c r="R145"/>
    </row>
    <row r="146" spans="3:18" x14ac:dyDescent="0.2">
      <c r="C146" s="121"/>
      <c r="D146"/>
      <c r="E146"/>
      <c r="F146"/>
      <c r="G146"/>
      <c r="H146"/>
      <c r="I146"/>
      <c r="J146"/>
      <c r="L146"/>
      <c r="M146"/>
      <c r="N146"/>
      <c r="R146"/>
    </row>
    <row r="147" spans="3:18" x14ac:dyDescent="0.2">
      <c r="C147" s="121"/>
      <c r="D147"/>
      <c r="E147"/>
      <c r="F147"/>
      <c r="G147"/>
      <c r="H147"/>
      <c r="I147"/>
      <c r="J147"/>
      <c r="L147"/>
      <c r="M147"/>
      <c r="N147"/>
      <c r="R147"/>
    </row>
    <row r="148" spans="3:18" x14ac:dyDescent="0.2">
      <c r="C148" s="121"/>
      <c r="D148"/>
      <c r="E148"/>
      <c r="F148"/>
      <c r="G148"/>
      <c r="H148"/>
      <c r="I148"/>
      <c r="J148"/>
      <c r="L148"/>
      <c r="M148"/>
      <c r="N148"/>
      <c r="R148"/>
    </row>
    <row r="149" spans="3:18" x14ac:dyDescent="0.2">
      <c r="C149" s="121"/>
      <c r="D149"/>
      <c r="E149"/>
      <c r="F149"/>
      <c r="G149"/>
      <c r="H149"/>
      <c r="I149"/>
      <c r="J149"/>
      <c r="L149"/>
      <c r="M149"/>
      <c r="N149"/>
      <c r="R149"/>
    </row>
    <row r="150" spans="3:18" x14ac:dyDescent="0.2">
      <c r="C150" s="121"/>
      <c r="D150"/>
      <c r="E150"/>
      <c r="F150"/>
      <c r="G150"/>
      <c r="H150"/>
      <c r="I150"/>
      <c r="J150"/>
      <c r="L150"/>
      <c r="M150"/>
      <c r="N150"/>
      <c r="R150"/>
    </row>
    <row r="151" spans="3:18" x14ac:dyDescent="0.2">
      <c r="C151" s="121"/>
      <c r="D151"/>
      <c r="E151"/>
      <c r="F151"/>
      <c r="G151"/>
      <c r="H151"/>
      <c r="I151"/>
      <c r="J151"/>
      <c r="L151"/>
      <c r="M151"/>
      <c r="N151"/>
      <c r="R151"/>
    </row>
    <row r="152" spans="3:18" x14ac:dyDescent="0.2">
      <c r="C152" s="121"/>
      <c r="D152"/>
      <c r="E152"/>
      <c r="F152"/>
      <c r="G152"/>
      <c r="H152"/>
      <c r="I152"/>
      <c r="J152"/>
      <c r="L152"/>
      <c r="M152"/>
      <c r="N152"/>
      <c r="R152"/>
    </row>
    <row r="153" spans="3:18" x14ac:dyDescent="0.2">
      <c r="C153" s="121"/>
      <c r="D153"/>
      <c r="E153"/>
      <c r="F153"/>
      <c r="G153"/>
      <c r="H153"/>
      <c r="I153"/>
      <c r="J153"/>
      <c r="L153"/>
      <c r="M153"/>
      <c r="N153"/>
      <c r="R153"/>
    </row>
    <row r="154" spans="3:18" x14ac:dyDescent="0.2">
      <c r="C154" s="121"/>
      <c r="D154"/>
      <c r="E154"/>
      <c r="F154"/>
      <c r="G154"/>
      <c r="H154"/>
      <c r="I154"/>
      <c r="J154"/>
      <c r="L154"/>
      <c r="M154"/>
      <c r="N154"/>
      <c r="R154"/>
    </row>
    <row r="155" spans="3:18" x14ac:dyDescent="0.2">
      <c r="C155" s="121"/>
      <c r="D155"/>
      <c r="E155"/>
      <c r="F155"/>
      <c r="G155"/>
      <c r="H155"/>
      <c r="I155"/>
      <c r="J155"/>
      <c r="L155"/>
      <c r="M155"/>
      <c r="N155"/>
      <c r="R155"/>
    </row>
    <row r="156" spans="3:18" x14ac:dyDescent="0.2">
      <c r="C156" s="121"/>
      <c r="D156"/>
      <c r="E156"/>
      <c r="F156"/>
      <c r="G156"/>
      <c r="H156"/>
      <c r="I156"/>
      <c r="J156"/>
      <c r="L156"/>
      <c r="M156"/>
      <c r="N156"/>
      <c r="R156"/>
    </row>
    <row r="157" spans="3:18" x14ac:dyDescent="0.2">
      <c r="C157" s="121"/>
      <c r="D157"/>
      <c r="E157"/>
      <c r="F157"/>
      <c r="G157"/>
      <c r="H157"/>
      <c r="I157"/>
      <c r="J157"/>
      <c r="L157"/>
      <c r="M157"/>
      <c r="N157"/>
      <c r="R157"/>
    </row>
    <row r="158" spans="3:18" x14ac:dyDescent="0.2">
      <c r="C158" s="121"/>
      <c r="D158"/>
      <c r="E158"/>
      <c r="F158"/>
      <c r="G158"/>
      <c r="H158"/>
      <c r="I158"/>
      <c r="J158"/>
      <c r="L158"/>
      <c r="M158"/>
      <c r="N158"/>
      <c r="R158"/>
    </row>
    <row r="159" spans="3:18" x14ac:dyDescent="0.2">
      <c r="C159" s="121"/>
      <c r="D159"/>
      <c r="E159"/>
      <c r="F159"/>
      <c r="G159"/>
      <c r="H159"/>
      <c r="I159"/>
      <c r="J159"/>
      <c r="L159"/>
      <c r="M159"/>
      <c r="N159"/>
      <c r="R159"/>
    </row>
    <row r="160" spans="3:18" x14ac:dyDescent="0.2">
      <c r="C160" s="121"/>
      <c r="D160"/>
      <c r="E160"/>
      <c r="F160"/>
      <c r="G160"/>
      <c r="H160"/>
      <c r="I160"/>
      <c r="J160"/>
      <c r="L160"/>
      <c r="M160"/>
      <c r="N160"/>
      <c r="R160"/>
    </row>
    <row r="161" spans="3:18" x14ac:dyDescent="0.2">
      <c r="C161" s="121"/>
      <c r="D161"/>
      <c r="E161"/>
      <c r="F161"/>
      <c r="G161"/>
      <c r="H161"/>
      <c r="I161"/>
      <c r="J161"/>
      <c r="L161"/>
      <c r="M161"/>
      <c r="N161"/>
      <c r="R161"/>
    </row>
    <row r="162" spans="3:18" x14ac:dyDescent="0.2">
      <c r="C162" s="121"/>
      <c r="D162"/>
      <c r="E162"/>
      <c r="F162"/>
      <c r="G162"/>
      <c r="H162"/>
      <c r="I162"/>
      <c r="J162"/>
      <c r="L162"/>
      <c r="M162"/>
      <c r="N162"/>
      <c r="R162"/>
    </row>
    <row r="163" spans="3:18" x14ac:dyDescent="0.2">
      <c r="C163" s="121"/>
      <c r="D163"/>
      <c r="E163"/>
      <c r="F163"/>
      <c r="G163"/>
      <c r="H163"/>
      <c r="I163"/>
      <c r="J163"/>
      <c r="L163"/>
      <c r="M163"/>
      <c r="N163"/>
      <c r="R163"/>
    </row>
    <row r="164" spans="3:18" x14ac:dyDescent="0.2">
      <c r="C164" s="121"/>
      <c r="D164"/>
      <c r="E164"/>
      <c r="F164"/>
      <c r="G164"/>
      <c r="H164"/>
      <c r="I164"/>
      <c r="J164"/>
      <c r="L164"/>
      <c r="M164"/>
      <c r="N164"/>
      <c r="R164"/>
    </row>
    <row r="165" spans="3:18" x14ac:dyDescent="0.2">
      <c r="C165" s="121"/>
      <c r="D165"/>
      <c r="E165"/>
      <c r="F165"/>
      <c r="G165"/>
      <c r="H165"/>
      <c r="I165"/>
      <c r="J165"/>
      <c r="L165"/>
      <c r="M165"/>
      <c r="N165"/>
      <c r="R165"/>
    </row>
    <row r="166" spans="3:18" x14ac:dyDescent="0.2">
      <c r="C166" s="121"/>
      <c r="D166"/>
      <c r="E166"/>
      <c r="F166"/>
      <c r="G166"/>
      <c r="H166"/>
      <c r="I166"/>
      <c r="J166"/>
      <c r="L166"/>
      <c r="M166"/>
      <c r="N166"/>
      <c r="R166"/>
    </row>
    <row r="167" spans="3:18" x14ac:dyDescent="0.2">
      <c r="C167" s="121"/>
      <c r="D167"/>
      <c r="E167"/>
      <c r="F167"/>
      <c r="G167"/>
      <c r="H167"/>
      <c r="I167"/>
      <c r="J167"/>
      <c r="L167"/>
      <c r="M167"/>
      <c r="N167"/>
      <c r="R167"/>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2" orientation="landscape" horizontalDpi="300" verticalDpi="300" r:id="rId1"/>
  <headerFooter alignWithMargins="0">
    <oddFooter>&amp;L&amp;D     &amp;T&amp;C&amp;F&amp;R&amp;A</oddFooter>
  </headerFooter>
  <rowBreaks count="1" manualBreakCount="1">
    <brk id="30"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85" workbookViewId="0">
      <pane ySplit="7" topLeftCell="A8" activePane="bottomLeft" state="frozen"/>
      <selection activeCell="K16" sqref="K16"/>
      <selection pane="bottomLeft" activeCell="K16" sqref="K16"/>
    </sheetView>
  </sheetViews>
  <sheetFormatPr defaultRowHeight="12.75" x14ac:dyDescent="0.2"/>
  <cols>
    <col min="2" max="2" width="35.83203125" customWidth="1"/>
    <col min="3" max="7" width="14.83203125" style="1" hidden="1" customWidth="1"/>
    <col min="8" max="8" width="14.83203125" style="1" customWidth="1"/>
    <col min="9" max="13" width="14.83203125" customWidth="1"/>
  </cols>
  <sheetData>
    <row r="1" spans="1:13" x14ac:dyDescent="0.2">
      <c r="A1" s="410" t="s">
        <v>1013</v>
      </c>
      <c r="B1" s="410" t="s">
        <v>1418</v>
      </c>
      <c r="D1" s="121"/>
      <c r="E1" s="121"/>
      <c r="F1" s="121"/>
      <c r="G1" s="121"/>
      <c r="H1" s="121"/>
      <c r="I1" s="121"/>
      <c r="J1" s="121"/>
      <c r="L1" s="1"/>
    </row>
    <row r="2" spans="1:13" ht="15" x14ac:dyDescent="0.25">
      <c r="A2" s="49" t="s">
        <v>259</v>
      </c>
      <c r="B2" s="49"/>
      <c r="E2" s="153"/>
      <c r="H2" s="153" t="s">
        <v>252</v>
      </c>
      <c r="I2" s="153"/>
      <c r="J2" s="153"/>
      <c r="K2" s="67" t="s">
        <v>343</v>
      </c>
      <c r="L2" s="1"/>
      <c r="M2" s="50" t="s">
        <v>344</v>
      </c>
    </row>
    <row r="3" spans="1:13" ht="13.5" thickBot="1" x14ac:dyDescent="0.25">
      <c r="A3" s="4"/>
      <c r="B3" s="4"/>
      <c r="C3" s="25"/>
      <c r="D3" s="25"/>
      <c r="E3" s="25"/>
      <c r="F3" s="25"/>
      <c r="G3" s="25"/>
      <c r="H3" s="25"/>
      <c r="I3" s="25"/>
      <c r="J3" s="25"/>
      <c r="K3" s="4"/>
      <c r="L3" s="25"/>
      <c r="M3" s="4"/>
    </row>
    <row r="4" spans="1:13"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3" x14ac:dyDescent="0.2">
      <c r="A5" s="93"/>
      <c r="B5" s="216"/>
      <c r="C5" s="137"/>
      <c r="D5" s="94"/>
      <c r="E5" s="120"/>
      <c r="F5" s="94"/>
      <c r="G5" s="94"/>
      <c r="H5" s="120"/>
      <c r="I5" s="318"/>
      <c r="J5" s="318"/>
      <c r="K5" s="120" t="s">
        <v>509</v>
      </c>
      <c r="L5" s="95" t="s">
        <v>7</v>
      </c>
      <c r="M5" s="209" t="s">
        <v>783</v>
      </c>
    </row>
    <row r="6" spans="1:13" x14ac:dyDescent="0.2">
      <c r="A6" s="93"/>
      <c r="B6" s="216"/>
      <c r="C6" s="137"/>
      <c r="D6" s="137"/>
      <c r="E6" s="137"/>
      <c r="F6" s="137"/>
      <c r="G6" s="137"/>
      <c r="H6" s="137"/>
      <c r="I6" s="95"/>
      <c r="J6" s="95"/>
      <c r="K6" s="137"/>
      <c r="L6" s="95" t="s">
        <v>8</v>
      </c>
      <c r="M6" s="51" t="s">
        <v>537</v>
      </c>
    </row>
    <row r="7" spans="1:13"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3" ht="13.5" thickTop="1" x14ac:dyDescent="0.2">
      <c r="A8" s="30"/>
      <c r="B8" s="218"/>
      <c r="C8" s="142"/>
      <c r="D8" s="19"/>
      <c r="E8" s="19"/>
      <c r="F8" s="19"/>
      <c r="G8" s="19"/>
      <c r="H8" s="19"/>
      <c r="I8" s="20"/>
      <c r="J8" s="20"/>
      <c r="K8" s="19"/>
      <c r="L8" s="20"/>
      <c r="M8" s="20"/>
    </row>
    <row r="9" spans="1:13" x14ac:dyDescent="0.2">
      <c r="A9" s="30"/>
      <c r="B9" s="117"/>
      <c r="C9" s="142"/>
      <c r="D9" s="19"/>
      <c r="E9" s="19"/>
      <c r="F9" s="19"/>
      <c r="G9" s="19"/>
      <c r="H9" s="19"/>
      <c r="I9" s="19"/>
      <c r="J9" s="20"/>
      <c r="K9" s="19"/>
      <c r="L9" s="20"/>
      <c r="M9" s="20"/>
    </row>
    <row r="10" spans="1:13" x14ac:dyDescent="0.2">
      <c r="A10" s="12">
        <v>5700</v>
      </c>
      <c r="B10" s="69" t="s">
        <v>214</v>
      </c>
      <c r="C10" s="140">
        <v>253.28</v>
      </c>
      <c r="D10" s="14">
        <v>0</v>
      </c>
      <c r="E10" s="14">
        <v>434.33</v>
      </c>
      <c r="F10" s="14">
        <v>0</v>
      </c>
      <c r="G10" s="14">
        <v>0</v>
      </c>
      <c r="H10" s="14">
        <v>253.19</v>
      </c>
      <c r="I10" s="14"/>
      <c r="J10" s="15">
        <v>500</v>
      </c>
      <c r="K10" s="14"/>
      <c r="L10" s="15">
        <v>500</v>
      </c>
      <c r="M10" s="15"/>
    </row>
    <row r="11" spans="1:13" ht="13.5" thickBot="1" x14ac:dyDescent="0.25">
      <c r="A11" s="12"/>
      <c r="B11" s="826"/>
      <c r="C11" s="141"/>
      <c r="D11" s="16"/>
      <c r="E11" s="16"/>
      <c r="F11" s="16"/>
      <c r="G11" s="16"/>
      <c r="H11" s="16"/>
      <c r="I11" s="16"/>
      <c r="J11" s="17"/>
      <c r="K11" s="16"/>
      <c r="L11" s="17"/>
      <c r="M11" s="17"/>
    </row>
    <row r="12" spans="1:13" x14ac:dyDescent="0.2">
      <c r="A12" s="12"/>
      <c r="B12" s="70" t="s">
        <v>442</v>
      </c>
      <c r="C12" s="142">
        <f t="shared" ref="C12:L12" si="0">SUM(C9:C11)</f>
        <v>253.28</v>
      </c>
      <c r="D12" s="19">
        <f t="shared" si="0"/>
        <v>0</v>
      </c>
      <c r="E12" s="19">
        <f t="shared" si="0"/>
        <v>434.33</v>
      </c>
      <c r="F12" s="19">
        <f>+F10</f>
        <v>0</v>
      </c>
      <c r="G12" s="19">
        <f>+G10</f>
        <v>0</v>
      </c>
      <c r="H12" s="19">
        <f>+H10</f>
        <v>253.19</v>
      </c>
      <c r="I12" s="19">
        <f t="shared" si="0"/>
        <v>0</v>
      </c>
      <c r="J12" s="38">
        <f t="shared" ref="J12" si="1">SUM(J9:J11)</f>
        <v>500</v>
      </c>
      <c r="K12" s="19">
        <f t="shared" si="0"/>
        <v>0</v>
      </c>
      <c r="L12" s="38">
        <f t="shared" si="0"/>
        <v>500</v>
      </c>
      <c r="M12" s="38">
        <f>SUM(M9:M11)</f>
        <v>0</v>
      </c>
    </row>
    <row r="13" spans="1:13" x14ac:dyDescent="0.2">
      <c r="A13" s="12"/>
      <c r="B13" s="69"/>
      <c r="C13" s="140"/>
      <c r="D13" s="14"/>
      <c r="E13" s="14"/>
      <c r="F13" s="14"/>
      <c r="G13" s="14"/>
      <c r="H13" s="14"/>
      <c r="I13" s="14"/>
      <c r="J13" s="15"/>
      <c r="K13" s="14"/>
      <c r="L13" s="15"/>
      <c r="M13" s="15"/>
    </row>
    <row r="14" spans="1:13" x14ac:dyDescent="0.2">
      <c r="A14" s="12"/>
      <c r="B14" s="69"/>
      <c r="C14" s="140"/>
      <c r="D14" s="14"/>
      <c r="E14" s="14"/>
      <c r="F14" s="14"/>
      <c r="G14" s="14"/>
      <c r="H14" s="14"/>
      <c r="I14" s="14"/>
      <c r="J14" s="15"/>
      <c r="K14" s="14"/>
      <c r="L14" s="15"/>
      <c r="M14" s="15"/>
    </row>
    <row r="15" spans="1:13" ht="13.5" thickBot="1" x14ac:dyDescent="0.25">
      <c r="A15" s="21"/>
      <c r="B15" s="825" t="s">
        <v>314</v>
      </c>
      <c r="C15" s="816">
        <f t="shared" ref="C15:L15" si="2">+C12</f>
        <v>253.28</v>
      </c>
      <c r="D15" s="23">
        <f t="shared" si="2"/>
        <v>0</v>
      </c>
      <c r="E15" s="23">
        <f>+E12</f>
        <v>434.33</v>
      </c>
      <c r="F15" s="23">
        <f>+F12</f>
        <v>0</v>
      </c>
      <c r="G15" s="23">
        <f>+G12</f>
        <v>0</v>
      </c>
      <c r="H15" s="23">
        <f>+H12</f>
        <v>253.19</v>
      </c>
      <c r="I15" s="23">
        <f t="shared" si="2"/>
        <v>0</v>
      </c>
      <c r="J15" s="43">
        <f t="shared" ref="J15" si="3">+J12</f>
        <v>500</v>
      </c>
      <c r="K15" s="23">
        <v>11000</v>
      </c>
      <c r="L15" s="43">
        <f t="shared" si="2"/>
        <v>500</v>
      </c>
      <c r="M15" s="43">
        <v>500</v>
      </c>
    </row>
    <row r="16" spans="1:13" ht="13.5" thickTop="1" x14ac:dyDescent="0.2">
      <c r="A16" s="4"/>
      <c r="B16" s="826"/>
      <c r="C16" s="26"/>
      <c r="D16" s="26"/>
      <c r="E16" s="26"/>
      <c r="F16" s="26"/>
      <c r="G16" s="26"/>
      <c r="H16" s="26"/>
      <c r="I16" s="26"/>
      <c r="J16" s="26"/>
      <c r="K16" s="27"/>
      <c r="L16" s="26"/>
      <c r="M16" s="25"/>
    </row>
    <row r="17" spans="1:13" ht="13.5" thickBot="1" x14ac:dyDescent="0.25">
      <c r="A17" s="72"/>
      <c r="B17" s="826"/>
      <c r="C17" s="25"/>
      <c r="D17" s="25"/>
      <c r="E17" s="25"/>
      <c r="F17" s="25"/>
      <c r="G17" s="25"/>
      <c r="H17" s="25"/>
      <c r="I17" s="25"/>
      <c r="J17" s="25"/>
      <c r="K17" s="29"/>
      <c r="L17" s="25"/>
      <c r="M17" s="29"/>
    </row>
    <row r="18" spans="1:13" ht="13.5" thickTop="1" x14ac:dyDescent="0.2">
      <c r="A18" s="517"/>
      <c r="B18" s="827"/>
      <c r="C18" s="817" t="s">
        <v>122</v>
      </c>
      <c r="D18" s="520" t="s">
        <v>122</v>
      </c>
      <c r="E18" s="520" t="s">
        <v>122</v>
      </c>
      <c r="H18" s="521" t="s">
        <v>542</v>
      </c>
      <c r="I18" s="522" t="s">
        <v>9</v>
      </c>
      <c r="J18" s="523" t="s">
        <v>1073</v>
      </c>
      <c r="K18" s="522" t="s">
        <v>682</v>
      </c>
      <c r="L18" s="524"/>
      <c r="M18" s="523"/>
    </row>
    <row r="19" spans="1:13" ht="13.5" thickBot="1" x14ac:dyDescent="0.25">
      <c r="A19" s="525" t="s">
        <v>123</v>
      </c>
      <c r="B19" s="526"/>
      <c r="C19" s="527" t="s">
        <v>334</v>
      </c>
      <c r="D19" s="527" t="s">
        <v>718</v>
      </c>
      <c r="E19" s="528" t="s">
        <v>734</v>
      </c>
      <c r="H19" s="529" t="s">
        <v>899</v>
      </c>
      <c r="I19" s="529" t="s">
        <v>900</v>
      </c>
      <c r="J19" s="528" t="s">
        <v>1075</v>
      </c>
      <c r="K19" s="530" t="s">
        <v>1075</v>
      </c>
      <c r="L19" s="531" t="s">
        <v>1074</v>
      </c>
      <c r="M19" s="529"/>
    </row>
    <row r="20" spans="1:13" ht="13.5" thickTop="1" x14ac:dyDescent="0.2">
      <c r="A20" s="548"/>
      <c r="B20" s="549"/>
      <c r="C20" s="536"/>
      <c r="D20" s="536"/>
      <c r="E20" s="536"/>
      <c r="H20" s="536"/>
      <c r="I20" s="536"/>
      <c r="J20" s="537"/>
      <c r="K20" s="536"/>
      <c r="L20" s="537"/>
      <c r="M20" s="537"/>
    </row>
    <row r="21" spans="1:13" x14ac:dyDescent="0.2">
      <c r="A21" s="551">
        <v>5700</v>
      </c>
      <c r="B21" s="540" t="s">
        <v>214</v>
      </c>
      <c r="C21" s="544">
        <v>253.28</v>
      </c>
      <c r="D21" s="544">
        <v>0</v>
      </c>
      <c r="E21" s="544">
        <v>434.33</v>
      </c>
      <c r="H21" s="543">
        <v>500</v>
      </c>
      <c r="I21" s="569">
        <f>+L10</f>
        <v>500</v>
      </c>
      <c r="J21" s="572">
        <f>+I21-H21</f>
        <v>0</v>
      </c>
      <c r="K21" s="545" t="str">
        <f>IF(H21+I21&lt;&gt;0,IF(H21&lt;&gt;0,IF(J21&lt;&gt;0,ROUND((+J21/H21),4),""),1),"")</f>
        <v/>
      </c>
      <c r="L21" s="538"/>
      <c r="M21" s="539"/>
    </row>
    <row r="22" spans="1:13" x14ac:dyDescent="0.2">
      <c r="A22" s="4"/>
      <c r="B22" s="4"/>
      <c r="C22" s="25"/>
      <c r="D22" s="25"/>
      <c r="E22" s="25"/>
      <c r="F22" s="25"/>
      <c r="G22" s="25"/>
      <c r="H22" s="25"/>
      <c r="I22" s="25"/>
      <c r="J22" s="25"/>
      <c r="K22" s="29"/>
      <c r="L22" s="25"/>
      <c r="M22" s="25"/>
    </row>
    <row r="23" spans="1:13" x14ac:dyDescent="0.2">
      <c r="A23" s="4"/>
      <c r="B23" s="4" t="s">
        <v>1600</v>
      </c>
      <c r="C23" s="25"/>
      <c r="D23" s="25"/>
      <c r="E23" s="25"/>
      <c r="F23" s="25"/>
      <c r="G23" s="25"/>
      <c r="H23" s="849">
        <f>SUM(H21:H22)</f>
        <v>500</v>
      </c>
      <c r="I23" s="849">
        <f>SUM(I12:I22)</f>
        <v>500</v>
      </c>
      <c r="J23" s="208">
        <f t="shared" ref="J23" si="4">+I23-H23</f>
        <v>0</v>
      </c>
      <c r="K23" s="850" t="str">
        <f t="shared" ref="K23" si="5">IF(H23+I23&lt;&gt;0,IF(H23&lt;&gt;0,IF(J23&lt;&gt;0,ROUND((+J23/H23),4),""),1),"")</f>
        <v/>
      </c>
      <c r="L23" s="25"/>
      <c r="M23" s="25"/>
    </row>
    <row r="24" spans="1:13" x14ac:dyDescent="0.2">
      <c r="A24" s="4"/>
      <c r="B24" s="4"/>
      <c r="C24" s="25"/>
      <c r="D24" s="25"/>
      <c r="E24" s="25"/>
      <c r="F24" s="25"/>
      <c r="G24" s="25"/>
      <c r="H24" s="25"/>
      <c r="I24" s="25"/>
      <c r="J24" s="25"/>
      <c r="K24" s="29"/>
      <c r="L24" s="25"/>
      <c r="M24" s="25"/>
    </row>
    <row r="25" spans="1:13" x14ac:dyDescent="0.2">
      <c r="A25" s="4"/>
      <c r="B25" s="4"/>
      <c r="C25" s="25"/>
      <c r="D25" s="25"/>
      <c r="E25" s="25"/>
      <c r="F25" s="25"/>
      <c r="G25" s="25"/>
      <c r="H25" s="25"/>
      <c r="I25" s="25"/>
      <c r="J25" s="25"/>
      <c r="K25" s="29"/>
      <c r="L25" s="25"/>
      <c r="M25" s="25"/>
    </row>
    <row r="26" spans="1:13" x14ac:dyDescent="0.2">
      <c r="A26" s="4"/>
      <c r="B26" s="4"/>
      <c r="C26" s="25"/>
      <c r="D26" s="25"/>
      <c r="E26" s="25"/>
      <c r="F26" s="25"/>
      <c r="G26" s="25"/>
      <c r="H26" s="25"/>
      <c r="I26" s="25"/>
      <c r="J26" s="25"/>
      <c r="K26" s="29"/>
      <c r="L26" s="25"/>
      <c r="M26" s="25"/>
    </row>
    <row r="27" spans="1:13" x14ac:dyDescent="0.2">
      <c r="A27" s="4"/>
      <c r="B27" s="4"/>
      <c r="C27" s="25"/>
      <c r="D27" s="25"/>
      <c r="E27" s="25"/>
      <c r="F27" s="25"/>
      <c r="G27" s="25"/>
      <c r="H27" s="25"/>
      <c r="I27" s="25"/>
      <c r="J27" s="25"/>
      <c r="K27" s="29"/>
      <c r="L27" s="25"/>
      <c r="M27" s="25"/>
    </row>
    <row r="28" spans="1:13" x14ac:dyDescent="0.2">
      <c r="A28" s="4"/>
      <c r="B28" s="4"/>
      <c r="C28" s="25"/>
      <c r="D28" s="25"/>
      <c r="E28" s="25"/>
      <c r="F28" s="25"/>
      <c r="G28" s="25"/>
      <c r="H28" s="25"/>
      <c r="I28" s="25"/>
      <c r="J28" s="25"/>
      <c r="K28" s="29"/>
      <c r="L28" s="25"/>
      <c r="M28" s="25"/>
    </row>
    <row r="29" spans="1:13" x14ac:dyDescent="0.2">
      <c r="A29" s="4"/>
      <c r="B29" s="4"/>
      <c r="C29" s="25"/>
      <c r="D29" s="25"/>
      <c r="E29" s="25"/>
      <c r="F29" s="25"/>
      <c r="G29" s="25"/>
      <c r="H29" s="25"/>
      <c r="I29" s="25"/>
      <c r="J29" s="25"/>
      <c r="K29" s="29"/>
      <c r="L29" s="25"/>
      <c r="M29" s="25"/>
    </row>
    <row r="30" spans="1:13" x14ac:dyDescent="0.2">
      <c r="A30" s="4"/>
      <c r="B30" s="4"/>
      <c r="C30" s="25"/>
      <c r="D30" s="25"/>
      <c r="E30" s="25"/>
      <c r="F30" s="25"/>
      <c r="G30" s="25"/>
      <c r="H30" s="25"/>
      <c r="I30" s="25"/>
      <c r="J30" s="25"/>
      <c r="K30" s="29"/>
      <c r="L30" s="25"/>
      <c r="M30" s="25"/>
    </row>
  </sheetData>
  <phoneticPr fontId="15" type="noConversion"/>
  <hyperlinks>
    <hyperlink ref="A1" location="'Working Budget with funding det'!A1" display="Main "/>
    <hyperlink ref="B1" location="'Table of Contents'!A1" display="TOC"/>
  </hyperlinks>
  <pageMargins left="0.75" right="0.75" top="1" bottom="1" header="0.5" footer="0.5"/>
  <pageSetup orientation="landscape" r:id="rId1"/>
  <headerFooter alignWithMargins="0">
    <oddFooter>&amp;L&amp;D &amp;T&amp;C&amp;F&amp;R&amp;A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6"/>
  <sheetViews>
    <sheetView zoomScale="85" workbookViewId="0">
      <pane ySplit="7" topLeftCell="A8" activePane="bottomLeft" state="frozen"/>
      <selection activeCell="K15" sqref="K15"/>
      <selection pane="bottomLeft" activeCell="K15" sqref="K15"/>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2" width="14.33203125" style="1" customWidth="1"/>
    <col min="13"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259</v>
      </c>
      <c r="B2" s="49"/>
      <c r="H2" s="153" t="s">
        <v>252</v>
      </c>
      <c r="I2" s="153"/>
      <c r="J2" s="153"/>
      <c r="K2" s="67" t="s">
        <v>313</v>
      </c>
      <c r="M2" s="506" t="s">
        <v>1058</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20"/>
      <c r="J8" s="20"/>
      <c r="K8" s="19"/>
      <c r="L8" s="20"/>
      <c r="M8" s="20"/>
    </row>
    <row r="9" spans="1:16" x14ac:dyDescent="0.2">
      <c r="A9" s="30">
        <v>5211</v>
      </c>
      <c r="B9" s="117" t="s">
        <v>187</v>
      </c>
      <c r="C9" s="142">
        <v>425.76</v>
      </c>
      <c r="D9" s="19">
        <v>393.01</v>
      </c>
      <c r="E9" s="19">
        <v>453.98</v>
      </c>
      <c r="F9" s="19">
        <v>478.7</v>
      </c>
      <c r="G9" s="19">
        <v>443.64</v>
      </c>
      <c r="H9" s="19">
        <v>430.41</v>
      </c>
      <c r="I9" s="19">
        <v>412.06</v>
      </c>
      <c r="J9" s="20">
        <v>500</v>
      </c>
      <c r="K9" s="19">
        <v>176.11</v>
      </c>
      <c r="L9" s="20">
        <v>500</v>
      </c>
      <c r="M9" s="20"/>
    </row>
    <row r="10" spans="1:16" ht="13.5" thickBot="1" x14ac:dyDescent="0.25">
      <c r="A10" s="12">
        <v>5700</v>
      </c>
      <c r="B10" s="69" t="s">
        <v>214</v>
      </c>
      <c r="C10" s="141">
        <v>804.49</v>
      </c>
      <c r="D10" s="16">
        <v>426.4</v>
      </c>
      <c r="E10" s="16">
        <v>595.45000000000005</v>
      </c>
      <c r="F10" s="16">
        <v>710.92</v>
      </c>
      <c r="G10" s="16">
        <v>745.32</v>
      </c>
      <c r="H10" s="16">
        <v>769.59</v>
      </c>
      <c r="I10" s="16">
        <v>388.71</v>
      </c>
      <c r="J10" s="17">
        <v>800</v>
      </c>
      <c r="K10" s="16"/>
      <c r="L10" s="17">
        <v>800</v>
      </c>
      <c r="M10" s="17"/>
    </row>
    <row r="11" spans="1:16" x14ac:dyDescent="0.2">
      <c r="A11" s="12"/>
      <c r="B11" s="70" t="s">
        <v>442</v>
      </c>
      <c r="C11" s="142">
        <f t="shared" ref="C11:M11" si="0">SUM(C9:C10)</f>
        <v>1230.25</v>
      </c>
      <c r="D11" s="19">
        <f t="shared" si="0"/>
        <v>819.41</v>
      </c>
      <c r="E11" s="19">
        <f>SUM(E9:E10)</f>
        <v>1049.43</v>
      </c>
      <c r="F11" s="19">
        <f t="shared" si="0"/>
        <v>1189.6199999999999</v>
      </c>
      <c r="G11" s="19">
        <f>SUM(G9:G10)</f>
        <v>1188.96</v>
      </c>
      <c r="H11" s="19">
        <f>SUM(H9:H10)</f>
        <v>1200</v>
      </c>
      <c r="I11" s="19">
        <f t="shared" si="0"/>
        <v>800.77</v>
      </c>
      <c r="J11" s="38">
        <f t="shared" ref="J11" si="1">SUM(J9:J10)</f>
        <v>1300</v>
      </c>
      <c r="K11" s="19">
        <f t="shared" si="0"/>
        <v>176.11</v>
      </c>
      <c r="L11" s="38">
        <f t="shared" si="0"/>
        <v>1300</v>
      </c>
      <c r="M11" s="38">
        <f t="shared" si="0"/>
        <v>0</v>
      </c>
    </row>
    <row r="12" spans="1:16" x14ac:dyDescent="0.2">
      <c r="A12" s="12"/>
      <c r="B12" s="69"/>
      <c r="C12" s="140"/>
      <c r="D12" s="14"/>
      <c r="E12" s="14"/>
      <c r="F12" s="14"/>
      <c r="G12" s="14"/>
      <c r="H12" s="14"/>
      <c r="I12" s="14"/>
      <c r="J12" s="15"/>
      <c r="K12" s="14"/>
      <c r="L12" s="15"/>
      <c r="M12" s="15"/>
    </row>
    <row r="13" spans="1:16" x14ac:dyDescent="0.2">
      <c r="A13" s="12"/>
      <c r="B13" s="69"/>
      <c r="C13" s="140"/>
      <c r="D13" s="14"/>
      <c r="E13" s="14"/>
      <c r="F13" s="14"/>
      <c r="G13" s="14"/>
      <c r="H13" s="14"/>
      <c r="I13" s="14"/>
      <c r="J13" s="15"/>
      <c r="K13" s="14"/>
      <c r="L13" s="15"/>
      <c r="M13" s="15"/>
    </row>
    <row r="14" spans="1:16" ht="13.5" thickBot="1" x14ac:dyDescent="0.25">
      <c r="A14" s="21"/>
      <c r="B14" s="825" t="s">
        <v>314</v>
      </c>
      <c r="C14" s="816">
        <f t="shared" ref="C14:L14" si="2">+C11</f>
        <v>1230.25</v>
      </c>
      <c r="D14" s="23">
        <f t="shared" si="2"/>
        <v>819.41</v>
      </c>
      <c r="E14" s="23">
        <f>+E11</f>
        <v>1049.43</v>
      </c>
      <c r="F14" s="23">
        <f>+F11</f>
        <v>1189.6199999999999</v>
      </c>
      <c r="G14" s="23">
        <f>+G11</f>
        <v>1188.96</v>
      </c>
      <c r="H14" s="23">
        <f>+H11</f>
        <v>1200</v>
      </c>
      <c r="I14" s="23">
        <f t="shared" si="2"/>
        <v>800.77</v>
      </c>
      <c r="J14" s="43">
        <f t="shared" ref="J14" si="3">+J11</f>
        <v>1300</v>
      </c>
      <c r="K14" s="23">
        <f t="shared" si="2"/>
        <v>176.11</v>
      </c>
      <c r="L14" s="43">
        <f t="shared" si="2"/>
        <v>1300</v>
      </c>
      <c r="M14" s="43">
        <f>+L14</f>
        <v>1300</v>
      </c>
    </row>
    <row r="15" spans="1:16" ht="13.5" thickTop="1" x14ac:dyDescent="0.2">
      <c r="A15" s="4"/>
      <c r="B15" s="826"/>
      <c r="C15" s="26"/>
      <c r="D15" s="26"/>
      <c r="E15" s="26"/>
      <c r="F15" s="26"/>
      <c r="G15" s="26"/>
      <c r="H15" s="26"/>
      <c r="I15" s="26"/>
      <c r="J15" s="26"/>
      <c r="K15" s="27"/>
      <c r="L15" s="26"/>
      <c r="M15" s="25"/>
      <c r="N15" s="27"/>
      <c r="O15" s="27"/>
      <c r="P15" s="27"/>
    </row>
    <row r="16" spans="1:16" ht="13.5" thickBot="1" x14ac:dyDescent="0.25">
      <c r="A16" s="72"/>
      <c r="B16" s="826"/>
      <c r="C16" s="25"/>
      <c r="D16" s="25"/>
      <c r="E16" s="25"/>
      <c r="F16" s="25"/>
      <c r="G16" s="25"/>
      <c r="H16" s="25"/>
      <c r="I16" s="25"/>
      <c r="J16" s="25"/>
      <c r="K16" s="29"/>
      <c r="L16" s="25"/>
      <c r="M16" s="29"/>
      <c r="N16" s="29"/>
      <c r="O16" s="29"/>
      <c r="P16" s="29"/>
    </row>
    <row r="17" spans="1:16" ht="13.5" thickTop="1" x14ac:dyDescent="0.2">
      <c r="A17" s="517"/>
      <c r="B17" s="827"/>
      <c r="C17" s="817" t="s">
        <v>122</v>
      </c>
      <c r="D17" s="520" t="s">
        <v>122</v>
      </c>
      <c r="E17" s="520"/>
      <c r="H17" s="521" t="s">
        <v>542</v>
      </c>
      <c r="I17" s="522" t="s">
        <v>9</v>
      </c>
      <c r="J17" s="523" t="s">
        <v>1073</v>
      </c>
      <c r="K17" s="522" t="s">
        <v>682</v>
      </c>
      <c r="L17" s="524"/>
      <c r="M17" s="523"/>
      <c r="N17" s="27"/>
      <c r="O17" s="27"/>
      <c r="P17" s="27"/>
    </row>
    <row r="18" spans="1:16" ht="13.5" thickBot="1" x14ac:dyDescent="0.25">
      <c r="A18" s="525" t="s">
        <v>123</v>
      </c>
      <c r="B18" s="526"/>
      <c r="C18" s="580" t="s">
        <v>334</v>
      </c>
      <c r="D18" s="527" t="s">
        <v>718</v>
      </c>
      <c r="E18" s="580"/>
      <c r="H18" s="529" t="s">
        <v>899</v>
      </c>
      <c r="I18" s="529" t="s">
        <v>900</v>
      </c>
      <c r="J18" s="528" t="s">
        <v>1075</v>
      </c>
      <c r="K18" s="530" t="s">
        <v>1075</v>
      </c>
      <c r="L18" s="531" t="s">
        <v>1074</v>
      </c>
      <c r="M18" s="529"/>
      <c r="N18" s="27"/>
      <c r="O18" s="27"/>
      <c r="P18" s="27"/>
    </row>
    <row r="19" spans="1:16" ht="13.5" thickTop="1" x14ac:dyDescent="0.2">
      <c r="A19" s="548"/>
      <c r="B19" s="549"/>
      <c r="C19" s="536"/>
      <c r="D19" s="536"/>
      <c r="E19" s="536"/>
      <c r="H19" s="537"/>
      <c r="I19" s="536"/>
      <c r="J19" s="537"/>
      <c r="K19" s="536"/>
      <c r="L19" s="538"/>
      <c r="M19" s="539"/>
      <c r="N19" s="27"/>
      <c r="O19" s="27"/>
      <c r="P19" s="27"/>
    </row>
    <row r="20" spans="1:16" x14ac:dyDescent="0.2">
      <c r="A20" s="548">
        <v>5211</v>
      </c>
      <c r="B20" s="549" t="s">
        <v>187</v>
      </c>
      <c r="C20" s="536">
        <v>425.76</v>
      </c>
      <c r="D20" s="536">
        <v>393.01</v>
      </c>
      <c r="E20" s="536"/>
      <c r="H20" s="537">
        <f>+J9</f>
        <v>500</v>
      </c>
      <c r="I20" s="568">
        <f>+L9</f>
        <v>500</v>
      </c>
      <c r="J20" s="572">
        <f>+I20-H20</f>
        <v>0</v>
      </c>
      <c r="K20" s="545" t="str">
        <f>IF(H20+I20&lt;&gt;0,IF(H20&lt;&gt;0,IF(J20&lt;&gt;0,ROUND((+J20/H20),4),""),1),"")</f>
        <v/>
      </c>
      <c r="L20" s="538"/>
      <c r="M20" s="539"/>
      <c r="N20" s="27"/>
      <c r="O20" s="27"/>
      <c r="P20" s="27"/>
    </row>
    <row r="21" spans="1:16" ht="13.5" thickBot="1" x14ac:dyDescent="0.25">
      <c r="A21" s="551">
        <v>5700</v>
      </c>
      <c r="B21" s="540" t="s">
        <v>214</v>
      </c>
      <c r="C21" s="542">
        <v>804.49</v>
      </c>
      <c r="D21" s="542">
        <v>426.4</v>
      </c>
      <c r="E21" s="542"/>
      <c r="H21" s="555">
        <f>+J10</f>
        <v>800</v>
      </c>
      <c r="I21" s="728">
        <f>+L10</f>
        <v>800</v>
      </c>
      <c r="J21" s="572">
        <f>+I21-H21</f>
        <v>0</v>
      </c>
      <c r="K21" s="545" t="str">
        <f>IF(H21+I21&lt;&gt;0,IF(H21&lt;&gt;0,IF(J21&lt;&gt;0,ROUND((+J21/H21),4),""),1),"")</f>
        <v/>
      </c>
      <c r="L21" s="538"/>
      <c r="M21" s="539"/>
      <c r="N21" s="27"/>
      <c r="O21" s="27"/>
      <c r="P21" s="27"/>
    </row>
    <row r="22" spans="1:16" x14ac:dyDescent="0.2">
      <c r="A22" s="4"/>
      <c r="B22" s="4"/>
      <c r="C22" s="25"/>
      <c r="D22" s="25"/>
      <c r="E22" s="25"/>
      <c r="F22" s="25"/>
      <c r="G22" s="25"/>
      <c r="H22" s="25"/>
      <c r="I22" s="25"/>
      <c r="J22" s="25"/>
      <c r="K22" s="29"/>
      <c r="L22" s="25"/>
      <c r="M22" s="25"/>
      <c r="N22" s="29"/>
      <c r="O22" s="29"/>
      <c r="P22" s="29"/>
    </row>
    <row r="23" spans="1:16" x14ac:dyDescent="0.2">
      <c r="A23" s="4"/>
      <c r="B23" s="4" t="s">
        <v>1600</v>
      </c>
      <c r="C23" s="25"/>
      <c r="D23" s="25"/>
      <c r="E23" s="25"/>
      <c r="F23" s="25"/>
      <c r="G23" s="25"/>
      <c r="H23" s="849">
        <f>SUM(H20:H22)</f>
        <v>1300</v>
      </c>
      <c r="I23" s="849">
        <f>SUM(I20:I22)</f>
        <v>1300</v>
      </c>
      <c r="J23" s="208">
        <f t="shared" ref="J23" si="4">+I23-H23</f>
        <v>0</v>
      </c>
      <c r="K23" s="850" t="str">
        <f t="shared" ref="K23" si="5">IF(H23+I23&lt;&gt;0,IF(H23&lt;&gt;0,IF(J23&lt;&gt;0,ROUND((+J23/H23),4),""),1),"")</f>
        <v/>
      </c>
      <c r="L23" s="25"/>
      <c r="M23" s="25"/>
      <c r="N23" s="29"/>
      <c r="O23" s="29"/>
      <c r="P23" s="29"/>
    </row>
    <row r="24" spans="1:16" x14ac:dyDescent="0.2">
      <c r="A24" s="4"/>
      <c r="B24" s="4"/>
      <c r="C24" s="25"/>
      <c r="D24" s="25"/>
      <c r="E24" s="25"/>
      <c r="F24" s="25"/>
      <c r="G24" s="25"/>
      <c r="H24" s="25"/>
      <c r="I24" s="25"/>
      <c r="J24" s="25"/>
      <c r="K24" s="29"/>
      <c r="L24" s="25"/>
      <c r="M24" s="25"/>
      <c r="N24" s="29"/>
      <c r="O24" s="29"/>
      <c r="P24" s="29"/>
    </row>
    <row r="25" spans="1:16" x14ac:dyDescent="0.2">
      <c r="A25" s="4"/>
      <c r="B25" s="4"/>
      <c r="C25" s="25"/>
      <c r="D25" s="25"/>
      <c r="E25" s="25"/>
      <c r="F25" s="25"/>
      <c r="G25" s="25"/>
      <c r="H25" s="25"/>
      <c r="I25" s="25"/>
      <c r="J25" s="25"/>
      <c r="K25" s="29"/>
      <c r="L25" s="25"/>
      <c r="M25" s="25"/>
      <c r="N25" s="29"/>
      <c r="O25" s="29"/>
      <c r="P25" s="29"/>
    </row>
    <row r="26" spans="1:16" x14ac:dyDescent="0.2">
      <c r="A26" s="4"/>
      <c r="B26" s="4"/>
      <c r="C26" s="25"/>
      <c r="D26" s="25"/>
      <c r="E26" s="25"/>
      <c r="F26" s="25"/>
      <c r="G26" s="25"/>
      <c r="H26" s="25"/>
      <c r="I26" s="25"/>
      <c r="J26" s="25"/>
      <c r="K26" s="29"/>
      <c r="L26" s="25"/>
      <c r="M26" s="25"/>
      <c r="N26" s="29"/>
      <c r="O26" s="29"/>
      <c r="P26" s="29"/>
    </row>
    <row r="27" spans="1:16" x14ac:dyDescent="0.2">
      <c r="A27" s="4"/>
      <c r="B27" s="4"/>
      <c r="C27" s="25"/>
      <c r="D27" s="25"/>
      <c r="E27" s="25"/>
      <c r="F27" s="25"/>
      <c r="G27" s="25"/>
      <c r="H27" s="25"/>
      <c r="I27" s="25"/>
      <c r="J27" s="25"/>
      <c r="K27" s="29"/>
      <c r="L27" s="25"/>
      <c r="M27" s="25"/>
      <c r="N27" s="29"/>
      <c r="O27" s="29"/>
      <c r="P27" s="29"/>
    </row>
    <row r="28" spans="1:16" x14ac:dyDescent="0.2">
      <c r="A28" s="4"/>
      <c r="B28" s="4"/>
      <c r="C28" s="25"/>
      <c r="D28" s="25"/>
      <c r="E28" s="25"/>
      <c r="F28" s="25"/>
      <c r="G28" s="25"/>
      <c r="H28" s="25"/>
      <c r="I28" s="25"/>
      <c r="J28" s="25"/>
      <c r="K28" s="29"/>
      <c r="L28" s="25"/>
      <c r="M28" s="25"/>
      <c r="N28" s="29"/>
      <c r="O28" s="29"/>
      <c r="P28" s="29"/>
    </row>
    <row r="29" spans="1:16" x14ac:dyDescent="0.2">
      <c r="A29" s="4"/>
      <c r="B29" s="4"/>
      <c r="C29" s="25"/>
      <c r="D29" s="25"/>
      <c r="E29" s="25"/>
      <c r="F29" s="25"/>
      <c r="G29" s="25"/>
      <c r="H29" s="25"/>
      <c r="I29" s="25"/>
      <c r="J29" s="25"/>
      <c r="K29" s="29"/>
      <c r="L29" s="25"/>
      <c r="M29" s="25"/>
      <c r="N29" s="29"/>
      <c r="O29" s="29"/>
      <c r="P29" s="29"/>
    </row>
    <row r="30" spans="1:16" x14ac:dyDescent="0.2">
      <c r="A30" s="4"/>
      <c r="B30" s="4"/>
      <c r="C30" s="25"/>
      <c r="D30" s="25"/>
      <c r="E30" s="25"/>
      <c r="F30" s="25"/>
      <c r="G30" s="25"/>
      <c r="H30" s="25"/>
      <c r="I30" s="25"/>
      <c r="J30" s="25"/>
      <c r="K30" s="29"/>
      <c r="L30" s="25"/>
      <c r="M30" s="25"/>
      <c r="N30" s="29"/>
      <c r="O30" s="29"/>
      <c r="P30" s="29"/>
    </row>
    <row r="31" spans="1:16" x14ac:dyDescent="0.2">
      <c r="A31" s="4"/>
      <c r="B31" s="4"/>
      <c r="C31" s="25"/>
      <c r="D31" s="25"/>
      <c r="E31" s="25"/>
      <c r="F31" s="25"/>
      <c r="G31" s="25"/>
      <c r="H31" s="25"/>
      <c r="I31" s="25"/>
      <c r="J31" s="25"/>
      <c r="K31" s="29"/>
      <c r="L31" s="25"/>
      <c r="M31" s="25"/>
      <c r="N31" s="29"/>
      <c r="O31" s="29"/>
      <c r="P31" s="29"/>
    </row>
    <row r="32" spans="1:16" x14ac:dyDescent="0.2">
      <c r="A32" s="4"/>
      <c r="B32" s="4"/>
      <c r="C32" s="25"/>
      <c r="D32" s="25"/>
      <c r="E32" s="25"/>
      <c r="F32" s="25"/>
      <c r="G32" s="25"/>
      <c r="H32" s="25"/>
      <c r="I32" s="25"/>
      <c r="J32" s="25"/>
      <c r="K32" s="29"/>
      <c r="L32" s="25"/>
      <c r="M32" s="25"/>
      <c r="N32" s="29"/>
      <c r="O32" s="29"/>
      <c r="P32" s="29"/>
    </row>
    <row r="33" spans="1:16" x14ac:dyDescent="0.2">
      <c r="A33" s="4"/>
      <c r="B33" s="4"/>
      <c r="C33" s="25"/>
      <c r="D33" s="25"/>
      <c r="E33" s="25"/>
      <c r="F33" s="25"/>
      <c r="G33" s="25"/>
      <c r="H33" s="25"/>
      <c r="I33" s="25"/>
      <c r="J33" s="25"/>
      <c r="K33" s="29"/>
      <c r="L33" s="25"/>
      <c r="M33" s="25"/>
      <c r="N33" s="29"/>
      <c r="O33" s="29"/>
      <c r="P33" s="29"/>
    </row>
    <row r="34" spans="1:16" x14ac:dyDescent="0.2">
      <c r="A34" s="4"/>
      <c r="B34" s="4"/>
      <c r="C34" s="25"/>
      <c r="D34" s="25"/>
      <c r="E34" s="25"/>
      <c r="F34" s="25"/>
      <c r="G34" s="25"/>
      <c r="H34" s="25"/>
      <c r="I34" s="25"/>
      <c r="J34" s="25"/>
      <c r="K34" s="29"/>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9"/>
      <c r="L42" s="25"/>
      <c r="M42" s="25"/>
      <c r="N42" s="29"/>
      <c r="O42" s="29"/>
      <c r="P42" s="29"/>
    </row>
    <row r="43" spans="1:16" x14ac:dyDescent="0.2">
      <c r="A43" s="4"/>
      <c r="B43" s="4"/>
      <c r="C43" s="25"/>
      <c r="D43" s="25"/>
      <c r="E43" s="25"/>
      <c r="F43" s="25"/>
      <c r="G43" s="25"/>
      <c r="H43" s="25"/>
      <c r="I43" s="25"/>
      <c r="J43" s="25"/>
      <c r="K43" s="29"/>
      <c r="L43" s="25"/>
      <c r="M43" s="25"/>
      <c r="N43" s="29"/>
      <c r="O43" s="29"/>
      <c r="P43" s="29"/>
    </row>
    <row r="44" spans="1:16" x14ac:dyDescent="0.2">
      <c r="A44" s="4"/>
      <c r="B44" s="4"/>
      <c r="C44" s="25"/>
      <c r="D44" s="25"/>
      <c r="E44" s="25"/>
      <c r="F44" s="25"/>
      <c r="G44" s="25"/>
      <c r="H44" s="25"/>
      <c r="I44" s="25"/>
      <c r="J44" s="25"/>
      <c r="K44" s="29"/>
      <c r="L44" s="25"/>
      <c r="M44" s="25"/>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c r="C46" s="25"/>
      <c r="D46" s="25"/>
      <c r="E46" s="25"/>
      <c r="F46" s="25"/>
      <c r="G46" s="25"/>
      <c r="H46" s="25"/>
      <c r="I46" s="25"/>
      <c r="J46" s="25"/>
      <c r="K46" s="29"/>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29"/>
      <c r="L50" s="25"/>
      <c r="M50" s="25"/>
      <c r="N50" s="29"/>
      <c r="O50" s="29"/>
      <c r="P50" s="29"/>
    </row>
    <row r="51" spans="1:16" x14ac:dyDescent="0.2">
      <c r="A51" s="4"/>
      <c r="B51" s="4"/>
      <c r="C51" s="25"/>
      <c r="D51" s="25"/>
      <c r="E51" s="25"/>
      <c r="F51" s="25"/>
      <c r="G51" s="25"/>
      <c r="H51" s="25"/>
      <c r="I51" s="25"/>
      <c r="J51" s="25"/>
      <c r="K51" s="29"/>
      <c r="L51" s="25"/>
      <c r="M51" s="25"/>
      <c r="N51" s="29"/>
      <c r="O51" s="29"/>
      <c r="P51" s="29"/>
    </row>
    <row r="52" spans="1:16" x14ac:dyDescent="0.2">
      <c r="A52" s="4"/>
      <c r="B52" s="4"/>
      <c r="C52" s="25"/>
      <c r="D52" s="25"/>
      <c r="E52" s="25"/>
      <c r="F52" s="25"/>
      <c r="G52" s="25"/>
      <c r="H52" s="25"/>
      <c r="I52" s="25"/>
      <c r="J52" s="25"/>
      <c r="K52" s="29"/>
      <c r="L52" s="25"/>
      <c r="M52" s="25"/>
      <c r="N52" s="29"/>
      <c r="O52" s="29"/>
      <c r="P52" s="29"/>
    </row>
    <row r="53" spans="1:16" x14ac:dyDescent="0.2">
      <c r="A53" s="4"/>
      <c r="B53" s="4"/>
      <c r="C53" s="25"/>
      <c r="D53" s="25"/>
      <c r="E53" s="25"/>
      <c r="F53" s="25"/>
      <c r="G53" s="25"/>
      <c r="H53" s="25"/>
      <c r="I53" s="25"/>
      <c r="J53" s="25"/>
      <c r="K53" s="29"/>
      <c r="L53" s="25"/>
      <c r="M53" s="25"/>
      <c r="N53" s="29"/>
      <c r="O53" s="29"/>
      <c r="P53" s="29"/>
    </row>
    <row r="54" spans="1:16" x14ac:dyDescent="0.2">
      <c r="A54" s="4"/>
      <c r="B54" s="4"/>
      <c r="C54" s="25"/>
      <c r="D54" s="25"/>
      <c r="E54" s="25"/>
      <c r="F54" s="25"/>
      <c r="G54" s="25"/>
      <c r="H54" s="25"/>
      <c r="I54" s="25"/>
      <c r="J54" s="25"/>
      <c r="K54" s="29"/>
      <c r="L54" s="25"/>
      <c r="M54" s="25"/>
      <c r="N54" s="29"/>
      <c r="O54" s="29"/>
      <c r="P54" s="29"/>
    </row>
    <row r="55" spans="1:16" x14ac:dyDescent="0.2">
      <c r="A55" s="4"/>
      <c r="B55" s="4"/>
      <c r="C55" s="25"/>
      <c r="D55" s="25"/>
      <c r="E55" s="25"/>
      <c r="F55" s="25"/>
      <c r="G55" s="25"/>
      <c r="H55" s="25"/>
      <c r="I55" s="25"/>
      <c r="J55" s="25"/>
      <c r="K55" s="29"/>
      <c r="L55" s="25"/>
      <c r="M55" s="25"/>
      <c r="N55" s="29"/>
      <c r="O55" s="29"/>
      <c r="P55" s="29"/>
    </row>
    <row r="56" spans="1:16" x14ac:dyDescent="0.2">
      <c r="A56" s="4"/>
      <c r="B56" s="4"/>
      <c r="C56" s="25"/>
      <c r="D56" s="25"/>
      <c r="E56" s="25"/>
      <c r="F56" s="25"/>
      <c r="G56" s="25"/>
      <c r="H56" s="25"/>
      <c r="I56" s="25"/>
      <c r="J56" s="25"/>
      <c r="K56" s="29"/>
      <c r="L56" s="25"/>
      <c r="M56" s="25"/>
      <c r="N56" s="29"/>
      <c r="O56" s="29"/>
      <c r="P56" s="29"/>
    </row>
    <row r="57" spans="1:16" x14ac:dyDescent="0.2">
      <c r="A57" s="4"/>
      <c r="B57" s="4"/>
      <c r="C57" s="25"/>
      <c r="D57" s="25"/>
      <c r="E57" s="25"/>
      <c r="F57" s="25"/>
      <c r="G57" s="25"/>
      <c r="H57" s="25"/>
      <c r="I57" s="25"/>
      <c r="J57" s="25"/>
      <c r="K57" s="29"/>
      <c r="L57" s="25"/>
      <c r="M57" s="25"/>
      <c r="N57" s="29"/>
      <c r="O57" s="29"/>
      <c r="P57" s="29"/>
    </row>
    <row r="58" spans="1:16" x14ac:dyDescent="0.2">
      <c r="A58" s="4"/>
      <c r="B58" s="4"/>
      <c r="C58" s="25"/>
      <c r="D58" s="25"/>
      <c r="E58" s="25"/>
      <c r="F58" s="25"/>
      <c r="G58" s="25"/>
      <c r="H58" s="25"/>
      <c r="I58" s="25"/>
      <c r="J58" s="25"/>
      <c r="K58" s="29"/>
      <c r="L58" s="25"/>
      <c r="M58" s="25"/>
      <c r="N58" s="29"/>
      <c r="O58" s="29"/>
      <c r="P58" s="29"/>
    </row>
    <row r="59" spans="1:16" x14ac:dyDescent="0.2">
      <c r="A59" s="4"/>
      <c r="B59" s="4"/>
      <c r="C59" s="25"/>
      <c r="D59" s="25"/>
      <c r="E59" s="25"/>
      <c r="F59" s="25"/>
      <c r="G59" s="25"/>
      <c r="H59" s="25"/>
      <c r="I59" s="25"/>
      <c r="J59" s="25"/>
      <c r="K59" s="29"/>
      <c r="L59" s="25"/>
      <c r="M59" s="25"/>
      <c r="N59" s="29"/>
      <c r="O59" s="29"/>
      <c r="P59" s="29"/>
    </row>
    <row r="60" spans="1:16" x14ac:dyDescent="0.2">
      <c r="A60" s="4"/>
      <c r="B60" s="4"/>
      <c r="C60" s="25"/>
      <c r="D60" s="25"/>
      <c r="E60" s="25"/>
      <c r="F60" s="25"/>
      <c r="G60" s="25"/>
      <c r="H60" s="25"/>
      <c r="I60" s="25"/>
      <c r="J60" s="25"/>
      <c r="K60" s="29"/>
      <c r="L60" s="25"/>
      <c r="M60" s="25"/>
      <c r="N60" s="29"/>
      <c r="O60" s="29"/>
      <c r="P60" s="29"/>
    </row>
    <row r="61" spans="1:16" x14ac:dyDescent="0.2">
      <c r="A61" s="4"/>
      <c r="B61" s="4"/>
      <c r="C61" s="25"/>
      <c r="D61" s="25"/>
      <c r="E61" s="25"/>
      <c r="F61" s="25"/>
      <c r="G61" s="25"/>
      <c r="H61" s="25"/>
      <c r="I61" s="25"/>
      <c r="J61" s="25"/>
      <c r="K61" s="29"/>
      <c r="L61" s="25"/>
      <c r="M61" s="25"/>
      <c r="N61" s="29"/>
      <c r="O61" s="29"/>
      <c r="P61" s="29"/>
    </row>
    <row r="62" spans="1:16" x14ac:dyDescent="0.2">
      <c r="A62" s="4"/>
      <c r="B62" s="4"/>
      <c r="C62" s="25"/>
      <c r="D62" s="25"/>
      <c r="E62" s="25"/>
      <c r="F62" s="25"/>
      <c r="G62" s="25"/>
      <c r="H62" s="25"/>
      <c r="I62" s="25"/>
      <c r="J62" s="25"/>
      <c r="K62" s="29"/>
      <c r="L62" s="25"/>
      <c r="M62" s="25"/>
      <c r="N62" s="29"/>
      <c r="O62" s="29"/>
      <c r="P62" s="29"/>
    </row>
    <row r="63" spans="1:16" x14ac:dyDescent="0.2">
      <c r="A63" s="4"/>
      <c r="B63" s="4"/>
      <c r="C63" s="25"/>
      <c r="D63" s="25"/>
      <c r="E63" s="25"/>
      <c r="F63" s="25"/>
      <c r="G63" s="25"/>
      <c r="H63" s="25"/>
      <c r="I63" s="25"/>
      <c r="J63" s="25"/>
      <c r="K63" s="29"/>
      <c r="L63" s="25"/>
      <c r="M63" s="25"/>
      <c r="N63" s="29"/>
      <c r="O63" s="29"/>
      <c r="P63" s="29"/>
    </row>
    <row r="64" spans="1:16" x14ac:dyDescent="0.2">
      <c r="A64" s="4"/>
      <c r="B64" s="4"/>
      <c r="C64" s="25"/>
      <c r="D64" s="25"/>
      <c r="E64" s="25"/>
      <c r="F64" s="25"/>
      <c r="G64" s="25"/>
      <c r="H64" s="25"/>
      <c r="I64" s="25"/>
      <c r="J64" s="25"/>
      <c r="K64" s="29"/>
      <c r="L64" s="25"/>
      <c r="M64" s="25"/>
      <c r="N64" s="29"/>
      <c r="O64" s="29"/>
      <c r="P64" s="29"/>
    </row>
    <row r="65" spans="1:16" x14ac:dyDescent="0.2">
      <c r="A65" s="4"/>
      <c r="B65" s="4"/>
      <c r="C65" s="25"/>
      <c r="D65" s="25"/>
      <c r="E65" s="25"/>
      <c r="F65" s="25"/>
      <c r="G65" s="25"/>
      <c r="H65" s="25"/>
      <c r="I65" s="25"/>
      <c r="J65" s="25"/>
      <c r="K65" s="29"/>
      <c r="L65" s="25"/>
      <c r="M65" s="25"/>
      <c r="N65" s="29"/>
      <c r="O65" s="29"/>
      <c r="P65" s="29"/>
    </row>
    <row r="66" spans="1:16" x14ac:dyDescent="0.2">
      <c r="A66" s="4"/>
      <c r="B66" s="4"/>
      <c r="C66" s="25"/>
      <c r="D66" s="25"/>
      <c r="E66" s="25"/>
      <c r="F66" s="25"/>
      <c r="G66" s="25"/>
      <c r="H66" s="25"/>
      <c r="I66" s="25"/>
      <c r="J66" s="25"/>
      <c r="K66" s="29"/>
      <c r="L66" s="25"/>
      <c r="M66" s="25"/>
      <c r="N66" s="29"/>
      <c r="O66" s="29"/>
      <c r="P66" s="29"/>
    </row>
    <row r="67" spans="1:16" x14ac:dyDescent="0.2">
      <c r="A67" s="4"/>
      <c r="B67" s="4"/>
      <c r="C67" s="25"/>
      <c r="D67" s="25"/>
      <c r="E67" s="25"/>
      <c r="F67" s="25"/>
      <c r="G67" s="25"/>
      <c r="H67" s="25"/>
      <c r="I67" s="25"/>
      <c r="J67" s="25"/>
      <c r="K67" s="29"/>
      <c r="L67" s="25"/>
      <c r="M67" s="25"/>
      <c r="N67" s="29"/>
      <c r="O67" s="29"/>
      <c r="P67" s="29"/>
    </row>
    <row r="68" spans="1:16" x14ac:dyDescent="0.2">
      <c r="A68" s="4"/>
      <c r="B68" s="4"/>
      <c r="C68" s="25"/>
      <c r="D68" s="25"/>
      <c r="E68" s="25"/>
      <c r="F68" s="25"/>
      <c r="G68" s="25"/>
      <c r="H68" s="25"/>
      <c r="I68" s="25"/>
      <c r="J68" s="25"/>
      <c r="K68" s="29"/>
      <c r="L68" s="25"/>
      <c r="M68" s="25"/>
      <c r="N68" s="29"/>
      <c r="O68" s="29"/>
      <c r="P68" s="29"/>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A123" s="4"/>
      <c r="B123" s="4"/>
      <c r="C123" s="25"/>
      <c r="D123" s="25"/>
      <c r="E123" s="25"/>
      <c r="F123" s="25"/>
      <c r="G123" s="25"/>
      <c r="H123" s="25"/>
      <c r="I123" s="25"/>
      <c r="J123" s="25"/>
      <c r="K123" s="4"/>
      <c r="L123" s="25"/>
      <c r="M123" s="25"/>
      <c r="N123" s="4"/>
      <c r="O123" s="4"/>
      <c r="P123" s="4"/>
    </row>
    <row r="124" spans="1:16" x14ac:dyDescent="0.2">
      <c r="A124" s="4"/>
      <c r="B124" s="4"/>
      <c r="C124" s="25"/>
      <c r="D124" s="25"/>
      <c r="E124" s="25"/>
      <c r="F124" s="25"/>
      <c r="G124" s="25"/>
      <c r="H124" s="25"/>
      <c r="I124" s="25"/>
      <c r="J124" s="25"/>
      <c r="K124" s="4"/>
      <c r="L124" s="25"/>
      <c r="M124" s="25"/>
      <c r="N124" s="4"/>
      <c r="O124" s="4"/>
      <c r="P124" s="4"/>
    </row>
    <row r="125" spans="1:16" x14ac:dyDescent="0.2">
      <c r="A125" s="4"/>
      <c r="B125" s="4"/>
      <c r="C125" s="25"/>
      <c r="D125" s="25"/>
      <c r="E125" s="25"/>
      <c r="F125" s="25"/>
      <c r="G125" s="25"/>
      <c r="H125" s="25"/>
      <c r="I125" s="25"/>
      <c r="J125" s="25"/>
      <c r="K125" s="4"/>
      <c r="L125" s="25"/>
      <c r="M125" s="25"/>
      <c r="N125" s="4"/>
      <c r="O125" s="4"/>
      <c r="P125" s="4"/>
    </row>
    <row r="126" spans="1:16" x14ac:dyDescent="0.2">
      <c r="A126" s="4"/>
      <c r="B126" s="4"/>
      <c r="C126" s="25"/>
      <c r="D126" s="25"/>
      <c r="E126" s="25"/>
      <c r="F126" s="25"/>
      <c r="G126" s="25"/>
      <c r="H126" s="25"/>
      <c r="I126" s="25"/>
      <c r="J126" s="25"/>
      <c r="K126" s="4"/>
      <c r="L126" s="25"/>
      <c r="M126" s="25"/>
      <c r="N126" s="4"/>
      <c r="O126" s="4"/>
      <c r="P126" s="4"/>
    </row>
    <row r="127" spans="1:16" x14ac:dyDescent="0.2">
      <c r="A127" s="4"/>
      <c r="B127" s="4"/>
      <c r="C127" s="25"/>
      <c r="D127" s="25"/>
      <c r="E127" s="25"/>
      <c r="F127" s="25"/>
      <c r="G127" s="25"/>
      <c r="H127" s="25"/>
      <c r="I127" s="25"/>
      <c r="J127" s="25"/>
      <c r="K127" s="4"/>
      <c r="L127" s="25"/>
      <c r="M127" s="25"/>
      <c r="N127" s="4"/>
      <c r="O127" s="4"/>
      <c r="P127" s="4"/>
    </row>
    <row r="128" spans="1:16" x14ac:dyDescent="0.2">
      <c r="A128" s="4"/>
      <c r="B128" s="4"/>
      <c r="C128" s="25"/>
      <c r="D128" s="25"/>
      <c r="E128" s="25"/>
      <c r="F128" s="25"/>
      <c r="G128" s="25"/>
      <c r="H128" s="25"/>
      <c r="I128" s="25"/>
      <c r="J128" s="25"/>
      <c r="K128" s="4"/>
      <c r="L128" s="25"/>
      <c r="M128" s="25"/>
      <c r="N128" s="4"/>
      <c r="O128" s="4"/>
      <c r="P128" s="4"/>
    </row>
    <row r="129" spans="1:16" x14ac:dyDescent="0.2">
      <c r="A129" s="4"/>
      <c r="B129" s="4"/>
      <c r="C129" s="25"/>
      <c r="D129" s="25"/>
      <c r="E129" s="25"/>
      <c r="F129" s="25"/>
      <c r="G129" s="25"/>
      <c r="H129" s="25"/>
      <c r="I129" s="25"/>
      <c r="J129" s="25"/>
      <c r="K129" s="4"/>
      <c r="L129" s="25"/>
      <c r="M129" s="25"/>
      <c r="N129" s="4"/>
      <c r="O129" s="4"/>
      <c r="P129" s="4"/>
    </row>
    <row r="130" spans="1:16" x14ac:dyDescent="0.2">
      <c r="A130" s="4"/>
      <c r="B130" s="4"/>
      <c r="C130" s="25"/>
      <c r="D130" s="25"/>
      <c r="E130" s="25"/>
      <c r="F130" s="25"/>
      <c r="G130" s="25"/>
      <c r="H130" s="25"/>
      <c r="I130" s="25"/>
      <c r="J130" s="25"/>
      <c r="K130" s="4"/>
      <c r="L130" s="25"/>
      <c r="M130" s="25"/>
      <c r="N130" s="4"/>
      <c r="O130" s="4"/>
      <c r="P130" s="4"/>
    </row>
    <row r="131" spans="1:16" x14ac:dyDescent="0.2">
      <c r="A131" s="4"/>
      <c r="B131" s="4"/>
      <c r="C131" s="25"/>
      <c r="D131" s="25"/>
      <c r="E131" s="25"/>
      <c r="F131" s="25"/>
      <c r="G131" s="25"/>
      <c r="H131" s="25"/>
      <c r="I131" s="25"/>
      <c r="J131" s="25"/>
      <c r="K131" s="4"/>
      <c r="L131" s="25"/>
      <c r="M131" s="25"/>
      <c r="N131" s="4"/>
      <c r="O131" s="4"/>
      <c r="P131" s="4"/>
    </row>
    <row r="132" spans="1:16" x14ac:dyDescent="0.2">
      <c r="A132" s="4"/>
      <c r="B132" s="4"/>
      <c r="C132" s="25"/>
      <c r="D132" s="25"/>
      <c r="E132" s="25"/>
      <c r="F132" s="25"/>
      <c r="G132" s="25"/>
      <c r="H132" s="25"/>
      <c r="I132" s="25"/>
      <c r="J132" s="25"/>
      <c r="K132" s="4"/>
      <c r="L132" s="25"/>
      <c r="M132" s="25"/>
      <c r="N132" s="4"/>
      <c r="O132" s="4"/>
      <c r="P132" s="4"/>
    </row>
    <row r="133" spans="1:16" x14ac:dyDescent="0.2">
      <c r="A133" s="4"/>
      <c r="B133" s="4"/>
      <c r="C133" s="25"/>
      <c r="D133" s="25"/>
      <c r="E133" s="25"/>
      <c r="F133" s="25"/>
      <c r="G133" s="25"/>
      <c r="H133" s="25"/>
      <c r="I133" s="25"/>
      <c r="J133" s="25"/>
      <c r="K133" s="4"/>
      <c r="L133" s="25"/>
      <c r="M133" s="25"/>
      <c r="N133" s="4"/>
      <c r="O133" s="4"/>
      <c r="P133" s="4"/>
    </row>
    <row r="134" spans="1:16" x14ac:dyDescent="0.2">
      <c r="A134" s="4"/>
      <c r="B134" s="4"/>
      <c r="C134" s="25"/>
      <c r="D134" s="25"/>
      <c r="E134" s="25"/>
      <c r="F134" s="25"/>
      <c r="G134" s="25"/>
      <c r="H134" s="25"/>
      <c r="I134" s="25"/>
      <c r="J134" s="25"/>
      <c r="K134" s="4"/>
      <c r="L134" s="25"/>
      <c r="M134" s="25"/>
      <c r="N134" s="4"/>
      <c r="O134" s="4"/>
      <c r="P134" s="4"/>
    </row>
    <row r="135" spans="1:16" x14ac:dyDescent="0.2">
      <c r="A135" s="4"/>
      <c r="B135" s="4"/>
      <c r="C135" s="25"/>
      <c r="D135" s="25"/>
      <c r="E135" s="25"/>
      <c r="F135" s="25"/>
      <c r="G135" s="25"/>
      <c r="H135" s="25"/>
      <c r="I135" s="25"/>
      <c r="J135" s="25"/>
      <c r="K135" s="4"/>
      <c r="L135" s="25"/>
      <c r="M135" s="25"/>
      <c r="N135" s="4"/>
      <c r="O135" s="4"/>
      <c r="P135" s="4"/>
    </row>
    <row r="136" spans="1:16" x14ac:dyDescent="0.2">
      <c r="A136" s="4"/>
      <c r="B136" s="4"/>
      <c r="C136" s="25"/>
      <c r="D136" s="25"/>
      <c r="E136" s="25"/>
      <c r="F136" s="25"/>
      <c r="G136" s="25"/>
      <c r="H136" s="25"/>
      <c r="I136" s="25"/>
      <c r="J136" s="25"/>
      <c r="K136" s="4"/>
      <c r="L136" s="25"/>
      <c r="M136" s="25"/>
      <c r="N136" s="4"/>
      <c r="O136" s="4"/>
      <c r="P136" s="4"/>
    </row>
    <row r="137" spans="1:16" x14ac:dyDescent="0.2">
      <c r="C137" s="121"/>
    </row>
    <row r="138" spans="1:16" x14ac:dyDescent="0.2">
      <c r="C138" s="121"/>
    </row>
    <row r="139" spans="1:16" x14ac:dyDescent="0.2">
      <c r="C139" s="121"/>
    </row>
    <row r="140" spans="1:16" x14ac:dyDescent="0.2">
      <c r="C140" s="121"/>
    </row>
    <row r="141" spans="1:16" x14ac:dyDescent="0.2">
      <c r="C141" s="121"/>
    </row>
    <row r="142" spans="1:16" x14ac:dyDescent="0.2">
      <c r="C142" s="121"/>
    </row>
    <row r="143" spans="1:16" x14ac:dyDescent="0.2">
      <c r="C143" s="121"/>
    </row>
    <row r="144" spans="1:16"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row r="178" spans="3:3" x14ac:dyDescent="0.2">
      <c r="C178" s="121"/>
    </row>
    <row r="179" spans="3:3" x14ac:dyDescent="0.2">
      <c r="C179" s="121"/>
    </row>
    <row r="180" spans="3:3" x14ac:dyDescent="0.2">
      <c r="C180" s="121"/>
    </row>
    <row r="181" spans="3:3" x14ac:dyDescent="0.2">
      <c r="C181" s="121"/>
    </row>
    <row r="182" spans="3:3" x14ac:dyDescent="0.2">
      <c r="C182" s="121"/>
    </row>
    <row r="183" spans="3:3" x14ac:dyDescent="0.2">
      <c r="C183" s="121"/>
    </row>
    <row r="184" spans="3:3" x14ac:dyDescent="0.2">
      <c r="C184" s="121"/>
    </row>
    <row r="185" spans="3:3" x14ac:dyDescent="0.2">
      <c r="C185" s="121"/>
    </row>
    <row r="186" spans="3:3" x14ac:dyDescent="0.2">
      <c r="C186"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verticalDpi="300" r:id="rId1"/>
  <headerFooter alignWithMargins="0">
    <oddFooter>&amp;L&amp;D     &amp;T&amp;C&amp;F&amp;R&amp;A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4"/>
  <sheetViews>
    <sheetView zoomScale="85" zoomScaleNormal="85" workbookViewId="0">
      <pane xSplit="2" ySplit="7" topLeftCell="J32" activePane="bottomRight" state="frozen"/>
      <selection activeCell="K15" sqref="K15"/>
      <selection pane="topRight" activeCell="K15" sqref="K15"/>
      <selection pane="bottomLeft" activeCell="K15" sqref="K15"/>
      <selection pane="bottomRight" activeCell="P29" sqref="P29"/>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4" width="14.5" customWidth="1"/>
    <col min="15" max="19" width="13.1640625" customWidth="1"/>
    <col min="20" max="22" width="10.5" bestFit="1" customWidth="1"/>
    <col min="23" max="23" width="11.6640625" customWidth="1"/>
    <col min="24" max="39" width="10.5" bestFit="1" customWidth="1"/>
  </cols>
  <sheetData>
    <row r="1" spans="1:44" x14ac:dyDescent="0.2">
      <c r="A1" s="410" t="s">
        <v>1013</v>
      </c>
      <c r="B1" s="410" t="s">
        <v>1418</v>
      </c>
      <c r="M1"/>
    </row>
    <row r="2" spans="1:44" ht="15" x14ac:dyDescent="0.25">
      <c r="A2" s="49" t="s">
        <v>260</v>
      </c>
      <c r="B2" s="49"/>
      <c r="E2" s="153"/>
      <c r="H2" s="153" t="s">
        <v>252</v>
      </c>
      <c r="I2" s="153"/>
      <c r="J2" s="153"/>
      <c r="K2" s="67" t="s">
        <v>363</v>
      </c>
      <c r="M2" s="50" t="s">
        <v>498</v>
      </c>
    </row>
    <row r="3" spans="1:44" ht="13.5" thickBot="1" x14ac:dyDescent="0.25">
      <c r="A3" s="4"/>
      <c r="B3" s="4"/>
      <c r="C3" s="25"/>
      <c r="D3" s="25"/>
      <c r="E3" s="25"/>
      <c r="F3" s="25"/>
      <c r="G3" s="25"/>
      <c r="H3" s="25"/>
      <c r="I3" s="25"/>
      <c r="J3" s="25"/>
      <c r="K3" s="4"/>
      <c r="L3" s="25"/>
      <c r="M3" s="4"/>
    </row>
    <row r="4" spans="1:44"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x14ac:dyDescent="0.2">
      <c r="A5" s="93"/>
      <c r="B5" s="216"/>
      <c r="C5" s="137"/>
      <c r="D5" s="94"/>
      <c r="E5" s="120"/>
      <c r="F5" s="94"/>
      <c r="G5" s="94"/>
      <c r="H5" s="120"/>
      <c r="I5" s="318"/>
      <c r="J5" s="318"/>
      <c r="K5" s="120" t="s">
        <v>509</v>
      </c>
      <c r="L5" s="95" t="s">
        <v>7</v>
      </c>
      <c r="M5" s="209" t="s">
        <v>783</v>
      </c>
      <c r="O5" s="51" t="s">
        <v>900</v>
      </c>
      <c r="P5" s="51" t="s">
        <v>901</v>
      </c>
      <c r="Q5" s="51" t="s">
        <v>902</v>
      </c>
      <c r="R5" s="51" t="s">
        <v>903</v>
      </c>
      <c r="S5" s="51" t="s">
        <v>904</v>
      </c>
      <c r="T5" s="51" t="s">
        <v>905</v>
      </c>
      <c r="U5" s="51" t="s">
        <v>906</v>
      </c>
      <c r="V5" s="51" t="s">
        <v>907</v>
      </c>
      <c r="W5" s="51" t="s">
        <v>908</v>
      </c>
      <c r="X5" s="51" t="s">
        <v>909</v>
      </c>
      <c r="Y5" s="51" t="s">
        <v>910</v>
      </c>
      <c r="Z5" s="51" t="s">
        <v>911</v>
      </c>
      <c r="AA5" s="51" t="s">
        <v>912</v>
      </c>
      <c r="AB5" s="51" t="s">
        <v>913</v>
      </c>
      <c r="AC5" s="51" t="s">
        <v>914</v>
      </c>
      <c r="AD5" s="51" t="s">
        <v>915</v>
      </c>
      <c r="AE5" s="51" t="s">
        <v>916</v>
      </c>
      <c r="AF5" s="51" t="s">
        <v>917</v>
      </c>
      <c r="AG5" s="51" t="s">
        <v>918</v>
      </c>
      <c r="AH5" s="51" t="s">
        <v>919</v>
      </c>
      <c r="AI5" s="51" t="s">
        <v>920</v>
      </c>
      <c r="AJ5" s="51" t="s">
        <v>921</v>
      </c>
      <c r="AK5" s="51" t="s">
        <v>922</v>
      </c>
      <c r="AL5" s="51" t="s">
        <v>923</v>
      </c>
      <c r="AM5" s="51" t="s">
        <v>924</v>
      </c>
      <c r="AN5" s="51" t="s">
        <v>925</v>
      </c>
      <c r="AO5" s="51" t="s">
        <v>926</v>
      </c>
      <c r="AP5" s="51" t="s">
        <v>927</v>
      </c>
      <c r="AQ5" s="51" t="s">
        <v>928</v>
      </c>
      <c r="AR5" s="51" t="s">
        <v>929</v>
      </c>
    </row>
    <row r="6" spans="1:44" x14ac:dyDescent="0.2">
      <c r="A6" s="93"/>
      <c r="B6" s="216"/>
      <c r="C6" s="137"/>
      <c r="D6" s="137"/>
      <c r="E6" s="137"/>
      <c r="F6" s="137"/>
      <c r="G6" s="137"/>
      <c r="H6" s="137"/>
      <c r="I6" s="95"/>
      <c r="J6" s="95"/>
      <c r="K6" s="137"/>
      <c r="L6" s="95" t="s">
        <v>8</v>
      </c>
      <c r="M6" s="51" t="s">
        <v>537</v>
      </c>
      <c r="N6" s="260"/>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row>
    <row r="7" spans="1:44"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row>
    <row r="8" spans="1:44" ht="13.5" thickTop="1" x14ac:dyDescent="0.2">
      <c r="A8" s="30"/>
      <c r="B8" s="218"/>
      <c r="C8" s="142"/>
      <c r="D8" s="19"/>
      <c r="E8" s="19"/>
      <c r="F8" s="19"/>
      <c r="G8" s="19"/>
      <c r="H8" s="19"/>
      <c r="I8" s="20"/>
      <c r="J8" s="20"/>
      <c r="K8" s="19"/>
      <c r="L8" s="20"/>
      <c r="M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row>
    <row r="9" spans="1:44" x14ac:dyDescent="0.2">
      <c r="A9" s="12">
        <v>710</v>
      </c>
      <c r="B9" s="69" t="s">
        <v>223</v>
      </c>
      <c r="C9" s="140"/>
      <c r="D9" s="14"/>
      <c r="E9" s="14"/>
      <c r="F9" s="14"/>
      <c r="G9" s="14"/>
      <c r="H9" s="14"/>
      <c r="I9" s="15"/>
      <c r="J9" s="15"/>
      <c r="K9" s="14"/>
      <c r="L9" s="15"/>
      <c r="M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row>
    <row r="10" spans="1:44" x14ac:dyDescent="0.2">
      <c r="A10" s="12">
        <v>5910</v>
      </c>
      <c r="B10" s="69" t="s">
        <v>222</v>
      </c>
      <c r="C10" s="140">
        <v>40000</v>
      </c>
      <c r="D10" s="39">
        <v>35000</v>
      </c>
      <c r="E10" s="39">
        <v>35000</v>
      </c>
      <c r="F10" s="39">
        <v>35000</v>
      </c>
      <c r="G10" s="39">
        <v>35000</v>
      </c>
      <c r="H10" s="39">
        <v>35000</v>
      </c>
      <c r="I10" s="244">
        <v>35000</v>
      </c>
      <c r="J10" s="135">
        <v>35000</v>
      </c>
      <c r="K10" s="39">
        <v>35000</v>
      </c>
      <c r="L10" s="135">
        <f t="shared" ref="L10:L27" si="0">+O10</f>
        <v>0</v>
      </c>
      <c r="M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row>
    <row r="11" spans="1:44" x14ac:dyDescent="0.2">
      <c r="A11" s="12">
        <v>5916</v>
      </c>
      <c r="B11" s="69" t="s">
        <v>386</v>
      </c>
      <c r="C11" s="140">
        <v>55000</v>
      </c>
      <c r="D11" s="14">
        <v>55000</v>
      </c>
      <c r="E11" s="14">
        <v>55000</v>
      </c>
      <c r="F11" s="14">
        <v>55000</v>
      </c>
      <c r="G11" s="14">
        <v>55000</v>
      </c>
      <c r="H11" s="14">
        <v>25000</v>
      </c>
      <c r="I11" s="156">
        <v>20000</v>
      </c>
      <c r="J11" s="132">
        <v>20000</v>
      </c>
      <c r="K11" s="14">
        <v>20000</v>
      </c>
      <c r="L11" s="135">
        <f t="shared" si="0"/>
        <v>15000</v>
      </c>
      <c r="M11" s="40"/>
      <c r="O11" s="15">
        <f t="shared" ref="O11:U11" si="1">5000+10000</f>
        <v>15000</v>
      </c>
      <c r="P11" s="15">
        <f t="shared" si="1"/>
        <v>15000</v>
      </c>
      <c r="Q11" s="15">
        <f t="shared" si="1"/>
        <v>15000</v>
      </c>
      <c r="R11" s="15">
        <f t="shared" si="1"/>
        <v>15000</v>
      </c>
      <c r="S11" s="15">
        <f t="shared" si="1"/>
        <v>15000</v>
      </c>
      <c r="T11" s="15">
        <f t="shared" si="1"/>
        <v>15000</v>
      </c>
      <c r="U11" s="15">
        <f t="shared" si="1"/>
        <v>15000</v>
      </c>
      <c r="V11" s="15"/>
      <c r="W11" s="15"/>
      <c r="X11" s="15"/>
      <c r="Y11" s="15"/>
      <c r="Z11" s="15"/>
      <c r="AA11" s="15"/>
      <c r="AB11" s="15"/>
      <c r="AC11" s="15"/>
      <c r="AD11" s="15"/>
      <c r="AE11" s="15"/>
      <c r="AF11" s="15"/>
      <c r="AG11" s="15"/>
      <c r="AH11" s="15"/>
      <c r="AI11" s="15"/>
      <c r="AJ11" s="15"/>
      <c r="AK11" s="15"/>
      <c r="AL11" s="15"/>
      <c r="AM11" s="15"/>
      <c r="AN11" s="15"/>
      <c r="AO11" s="15"/>
      <c r="AP11" s="15"/>
      <c r="AQ11" s="15"/>
      <c r="AR11" s="15"/>
    </row>
    <row r="12" spans="1:44" x14ac:dyDescent="0.2">
      <c r="A12" s="12">
        <v>5920</v>
      </c>
      <c r="B12" s="69" t="s">
        <v>933</v>
      </c>
      <c r="C12" s="140">
        <v>205000</v>
      </c>
      <c r="D12" s="14">
        <v>210000</v>
      </c>
      <c r="E12" s="14">
        <v>220000</v>
      </c>
      <c r="F12" s="14">
        <v>230000</v>
      </c>
      <c r="G12" s="14">
        <v>240000</v>
      </c>
      <c r="H12" s="14">
        <v>255000</v>
      </c>
      <c r="I12" s="156">
        <v>265000</v>
      </c>
      <c r="J12" s="132">
        <v>275000</v>
      </c>
      <c r="K12" s="14">
        <v>275000</v>
      </c>
      <c r="L12" s="135">
        <f t="shared" si="0"/>
        <v>241448</v>
      </c>
      <c r="M12" s="40"/>
      <c r="N12" s="2">
        <f>SUM(O12:V12)</f>
        <v>2320854</v>
      </c>
      <c r="O12" s="15">
        <v>241448</v>
      </c>
      <c r="P12" s="15">
        <v>256230</v>
      </c>
      <c r="Q12" s="15">
        <v>266085</v>
      </c>
      <c r="R12" s="15">
        <v>280868</v>
      </c>
      <c r="S12" s="15">
        <v>295650</v>
      </c>
      <c r="T12" s="15">
        <v>310433</v>
      </c>
      <c r="U12" s="15">
        <v>325215</v>
      </c>
      <c r="V12" s="15">
        <v>344925</v>
      </c>
      <c r="W12" s="15"/>
      <c r="X12" s="15"/>
      <c r="Y12" s="15"/>
      <c r="Z12" s="15"/>
      <c r="AA12" s="15"/>
      <c r="AB12" s="15"/>
      <c r="AC12" s="15"/>
      <c r="AD12" s="15"/>
      <c r="AE12" s="15"/>
      <c r="AF12" s="15"/>
      <c r="AG12" s="15"/>
      <c r="AH12" s="15"/>
      <c r="AI12" s="15"/>
      <c r="AJ12" s="15"/>
      <c r="AK12" s="15"/>
      <c r="AL12" s="15"/>
      <c r="AM12" s="15"/>
      <c r="AN12" s="15"/>
      <c r="AO12" s="15"/>
      <c r="AP12" s="15"/>
      <c r="AQ12" s="15"/>
      <c r="AR12" s="15"/>
    </row>
    <row r="13" spans="1:44" x14ac:dyDescent="0.2">
      <c r="A13" s="12">
        <v>5930</v>
      </c>
      <c r="B13" s="117" t="s">
        <v>36</v>
      </c>
      <c r="C13" s="811">
        <v>17414.8</v>
      </c>
      <c r="D13" s="14">
        <v>17766.400000000001</v>
      </c>
      <c r="E13" s="14">
        <v>18125.2</v>
      </c>
      <c r="F13" s="14">
        <v>18491.599999999999</v>
      </c>
      <c r="G13" s="14">
        <v>18865.2</v>
      </c>
      <c r="H13" s="14">
        <v>19246</v>
      </c>
      <c r="I13" s="156">
        <v>19634.8</v>
      </c>
      <c r="J13" s="154">
        <v>20032</v>
      </c>
      <c r="K13" s="32">
        <v>20031.599999999999</v>
      </c>
      <c r="L13" s="135">
        <f t="shared" si="0"/>
        <v>20760</v>
      </c>
      <c r="M13" s="40"/>
      <c r="N13" s="360"/>
      <c r="O13" s="132">
        <f>+'Split Debt Service'!G10</f>
        <v>20760</v>
      </c>
      <c r="P13" s="132">
        <f>+'Split Debt Service'!H10</f>
        <v>20849</v>
      </c>
      <c r="Q13" s="132">
        <f>+'Split Debt Service'!I10</f>
        <v>21270</v>
      </c>
      <c r="R13" s="132">
        <f>+'Split Debt Service'!J10</f>
        <v>21700</v>
      </c>
      <c r="S13" s="132">
        <f>+'Split Debt Service'!K10</f>
        <v>22138</v>
      </c>
      <c r="T13" s="132">
        <f>+'Split Debt Service'!L10</f>
        <v>22586</v>
      </c>
      <c r="U13" s="132">
        <f>+'Split Debt Service'!M10</f>
        <v>23042</v>
      </c>
      <c r="V13" s="132">
        <f>+'Split Debt Service'!N10</f>
        <v>0</v>
      </c>
      <c r="W13" s="132">
        <f>+'Split Debt Service'!O10</f>
        <v>0</v>
      </c>
      <c r="X13" s="132">
        <f>+'Split Debt Service'!P10</f>
        <v>0</v>
      </c>
      <c r="Y13" s="132">
        <f>+'Split Debt Service'!Q10</f>
        <v>0</v>
      </c>
      <c r="Z13" s="132">
        <f>+'Split Debt Service'!R10</f>
        <v>0</v>
      </c>
      <c r="AA13" s="132">
        <f>+'Split Debt Service'!S10</f>
        <v>0</v>
      </c>
      <c r="AB13" s="132">
        <f>+'Split Debt Service'!T10</f>
        <v>0</v>
      </c>
      <c r="AC13" s="132">
        <f>+'Split Debt Service'!U10</f>
        <v>0</v>
      </c>
      <c r="AD13" s="132">
        <f>+'Split Debt Service'!V10</f>
        <v>0</v>
      </c>
      <c r="AE13" s="132">
        <f>+'Split Debt Service'!W10</f>
        <v>0</v>
      </c>
      <c r="AF13" s="132">
        <f>+'Split Debt Service'!X10</f>
        <v>0</v>
      </c>
      <c r="AG13" s="132">
        <f>+'Split Debt Service'!Y10</f>
        <v>0</v>
      </c>
      <c r="AH13" s="132">
        <f>+'Split Debt Service'!Z10</f>
        <v>0</v>
      </c>
      <c r="AI13" s="132">
        <f>+'Split Debt Service'!AA10</f>
        <v>0</v>
      </c>
      <c r="AJ13" s="132">
        <f>+'Split Debt Service'!AB10</f>
        <v>0</v>
      </c>
      <c r="AK13" s="132">
        <f>+'Split Debt Service'!AC10</f>
        <v>0</v>
      </c>
      <c r="AL13" s="132">
        <f>+'Split Debt Service'!AD10</f>
        <v>0</v>
      </c>
      <c r="AM13" s="132">
        <f>+'Split Debt Service'!AE10</f>
        <v>0</v>
      </c>
      <c r="AN13" s="132">
        <f>+'Split Debt Service'!AF10</f>
        <v>0</v>
      </c>
      <c r="AO13" s="132">
        <f>+'Split Debt Service'!AG10</f>
        <v>0</v>
      </c>
      <c r="AP13" s="132">
        <f>+'Split Debt Service'!AH10</f>
        <v>0</v>
      </c>
      <c r="AQ13" s="132">
        <f>+'Split Debt Service'!AI10</f>
        <v>0</v>
      </c>
      <c r="AR13" s="132">
        <f>+'Split Debt Service'!AJ10</f>
        <v>0</v>
      </c>
    </row>
    <row r="14" spans="1:44" x14ac:dyDescent="0.2">
      <c r="A14" s="12">
        <v>5931</v>
      </c>
      <c r="B14" s="69" t="s">
        <v>37</v>
      </c>
      <c r="C14" s="140">
        <v>19384.8</v>
      </c>
      <c r="D14" s="14">
        <v>19858.400000000001</v>
      </c>
      <c r="E14" s="14">
        <v>20343.599999999999</v>
      </c>
      <c r="F14" s="14">
        <v>20840.8</v>
      </c>
      <c r="G14" s="14">
        <v>21350</v>
      </c>
      <c r="H14" s="14">
        <v>21871.599999999999</v>
      </c>
      <c r="I14" s="156">
        <v>22406.400000000001</v>
      </c>
      <c r="J14" s="132">
        <v>22954</v>
      </c>
      <c r="K14" s="14">
        <v>22953.599999999999</v>
      </c>
      <c r="L14" s="135">
        <f t="shared" si="0"/>
        <v>23514</v>
      </c>
      <c r="M14" s="40"/>
      <c r="N14" s="360"/>
      <c r="O14" s="132">
        <f>+'Split Debt Service'!G11</f>
        <v>23514</v>
      </c>
      <c r="P14" s="132">
        <f>+'Split Debt Service'!H11</f>
        <v>24089</v>
      </c>
      <c r="Q14" s="132">
        <f>+'Split Debt Service'!I11</f>
        <v>24678</v>
      </c>
      <c r="R14" s="132">
        <f>+'Split Debt Service'!J11</f>
        <v>25281</v>
      </c>
      <c r="S14" s="132">
        <f>+'Split Debt Service'!K11</f>
        <v>25898</v>
      </c>
      <c r="T14" s="132">
        <f>+'Split Debt Service'!L11</f>
        <v>26531</v>
      </c>
      <c r="U14" s="132">
        <f>+'Split Debt Service'!M11</f>
        <v>27180</v>
      </c>
      <c r="V14" s="132">
        <f>+'Split Debt Service'!N11</f>
        <v>27844</v>
      </c>
      <c r="W14" s="132">
        <f>+'Split Debt Service'!O11</f>
        <v>28524</v>
      </c>
      <c r="X14" s="132">
        <f>+'Split Debt Service'!P11</f>
        <v>29221</v>
      </c>
      <c r="Y14" s="132">
        <f>+'Split Debt Service'!Q11</f>
        <v>29935</v>
      </c>
      <c r="Z14" s="132">
        <f>+'Split Debt Service'!R11</f>
        <v>30667</v>
      </c>
      <c r="AA14" s="132">
        <f>+'Split Debt Service'!S11</f>
        <v>31416</v>
      </c>
      <c r="AB14" s="132">
        <f>+'Split Debt Service'!T11</f>
        <v>32184</v>
      </c>
      <c r="AC14" s="132">
        <f>+'Split Debt Service'!U11</f>
        <v>32970</v>
      </c>
      <c r="AD14" s="132">
        <f>+'Split Debt Service'!V11</f>
        <v>33776</v>
      </c>
      <c r="AE14" s="132">
        <f>+'Split Debt Service'!W11</f>
        <v>34601</v>
      </c>
      <c r="AF14" s="132">
        <f>+'Split Debt Service'!X11</f>
        <v>35446</v>
      </c>
      <c r="AG14" s="132">
        <f>+'Split Debt Service'!Y11</f>
        <v>0</v>
      </c>
      <c r="AH14" s="132">
        <f>+'Split Debt Service'!Z11</f>
        <v>0</v>
      </c>
      <c r="AI14" s="132">
        <f>+'Split Debt Service'!AA11</f>
        <v>0</v>
      </c>
      <c r="AJ14" s="132">
        <f>+'Split Debt Service'!AB11</f>
        <v>0</v>
      </c>
      <c r="AK14" s="132">
        <f>+'Split Debt Service'!AC11</f>
        <v>0</v>
      </c>
      <c r="AL14" s="132">
        <f>+'Split Debt Service'!AD11</f>
        <v>0</v>
      </c>
      <c r="AM14" s="132">
        <f>+'Split Debt Service'!AE11</f>
        <v>0</v>
      </c>
      <c r="AN14" s="132">
        <f>+'Split Debt Service'!AF11</f>
        <v>0</v>
      </c>
      <c r="AO14" s="132">
        <f>+'Split Debt Service'!AG11</f>
        <v>0</v>
      </c>
      <c r="AP14" s="132">
        <f>+'Split Debt Service'!AH11</f>
        <v>0</v>
      </c>
      <c r="AQ14" s="132">
        <f>+'Split Debt Service'!AI11</f>
        <v>0</v>
      </c>
      <c r="AR14" s="132">
        <f>+'Split Debt Service'!AJ11</f>
        <v>0</v>
      </c>
    </row>
    <row r="15" spans="1:44" x14ac:dyDescent="0.2">
      <c r="A15" s="12">
        <v>5932</v>
      </c>
      <c r="B15" s="69" t="s">
        <v>38</v>
      </c>
      <c r="C15" s="140">
        <v>5429.18</v>
      </c>
      <c r="D15" s="14">
        <v>5429.18</v>
      </c>
      <c r="E15" s="14">
        <v>5666.7</v>
      </c>
      <c r="F15" s="14">
        <v>5914.62</v>
      </c>
      <c r="G15" s="14">
        <v>6173.39</v>
      </c>
      <c r="H15" s="14">
        <v>6443.47</v>
      </c>
      <c r="I15" s="156">
        <v>6725.38</v>
      </c>
      <c r="J15" s="132">
        <v>7020</v>
      </c>
      <c r="K15" s="14">
        <v>7019.61</v>
      </c>
      <c r="L15" s="135">
        <f t="shared" si="0"/>
        <v>8000</v>
      </c>
      <c r="M15" s="40"/>
      <c r="N15" s="360"/>
      <c r="O15" s="132">
        <f>+'Split Debt Service'!G12</f>
        <v>8000</v>
      </c>
      <c r="P15" s="132">
        <f>+'Split Debt Service'!H12</f>
        <v>8000</v>
      </c>
      <c r="Q15" s="132">
        <f>+'Split Debt Service'!I12</f>
        <v>8000</v>
      </c>
      <c r="R15" s="132">
        <f>+'Split Debt Service'!J12</f>
        <v>10000</v>
      </c>
      <c r="S15" s="132">
        <f>+'Split Debt Service'!K12</f>
        <v>10000</v>
      </c>
      <c r="T15" s="132">
        <f>+'Split Debt Service'!L12</f>
        <v>10000</v>
      </c>
      <c r="U15" s="132">
        <f>+'Split Debt Service'!M12</f>
        <v>10000</v>
      </c>
      <c r="V15" s="132">
        <f>+'Split Debt Service'!N12</f>
        <v>12000</v>
      </c>
      <c r="W15" s="132">
        <f>+'Split Debt Service'!O12</f>
        <v>12000</v>
      </c>
      <c r="X15" s="132">
        <f>+'Split Debt Service'!P12</f>
        <v>12000</v>
      </c>
      <c r="Y15" s="132">
        <f>+'Split Debt Service'!Q12</f>
        <v>14000</v>
      </c>
      <c r="Z15" s="132">
        <f>+'Split Debt Service'!R12</f>
        <v>14000</v>
      </c>
      <c r="AA15" s="132">
        <f>+'Split Debt Service'!S12</f>
        <v>14000</v>
      </c>
      <c r="AB15" s="132">
        <f>+'Split Debt Service'!T12</f>
        <v>14000</v>
      </c>
      <c r="AC15" s="132">
        <f>+'Split Debt Service'!U12</f>
        <v>14000</v>
      </c>
      <c r="AD15" s="132">
        <f>+'Split Debt Service'!V12</f>
        <v>14000</v>
      </c>
      <c r="AE15" s="132">
        <f>+'Split Debt Service'!W12</f>
        <v>14000</v>
      </c>
      <c r="AF15" s="132">
        <f>+'Split Debt Service'!X12</f>
        <v>16000</v>
      </c>
      <c r="AG15" s="132">
        <f>+'Split Debt Service'!Y12</f>
        <v>16000</v>
      </c>
      <c r="AH15" s="132">
        <f>+'Split Debt Service'!Z12</f>
        <v>16000</v>
      </c>
      <c r="AI15" s="132">
        <f>+'Split Debt Service'!AA12</f>
        <v>16000</v>
      </c>
      <c r="AJ15" s="132">
        <f>+'Split Debt Service'!AB12</f>
        <v>16000</v>
      </c>
      <c r="AK15" s="132">
        <f>+'Split Debt Service'!AC12</f>
        <v>18000</v>
      </c>
      <c r="AL15" s="132">
        <f>+'Split Debt Service'!AD12</f>
        <v>18000</v>
      </c>
      <c r="AM15" s="132">
        <f>+'Split Debt Service'!AE12</f>
        <v>18000</v>
      </c>
      <c r="AN15" s="132">
        <f>+'Split Debt Service'!AF12</f>
        <v>0</v>
      </c>
      <c r="AO15" s="132">
        <f>+'Split Debt Service'!AG12</f>
        <v>0</v>
      </c>
      <c r="AP15" s="132">
        <f>+'Split Debt Service'!AH12</f>
        <v>0</v>
      </c>
      <c r="AQ15" s="132">
        <f>+'Split Debt Service'!AI12</f>
        <v>0</v>
      </c>
      <c r="AR15" s="132">
        <f>+'Split Debt Service'!AJ12</f>
        <v>0</v>
      </c>
    </row>
    <row r="16" spans="1:44" x14ac:dyDescent="0.2">
      <c r="A16" s="12">
        <v>5933</v>
      </c>
      <c r="B16" s="69" t="s">
        <v>341</v>
      </c>
      <c r="C16" s="263">
        <v>4812.8</v>
      </c>
      <c r="D16" s="14">
        <v>5011.82</v>
      </c>
      <c r="E16" s="14">
        <v>5218.25</v>
      </c>
      <c r="F16" s="14">
        <v>5433.51</v>
      </c>
      <c r="G16" s="14">
        <v>5657.64</v>
      </c>
      <c r="H16" s="14">
        <v>5891.03</v>
      </c>
      <c r="I16" s="156">
        <v>6134.02</v>
      </c>
      <c r="J16" s="132">
        <v>6387</v>
      </c>
      <c r="K16" s="14">
        <v>6387.05</v>
      </c>
      <c r="L16" s="135">
        <f t="shared" si="0"/>
        <v>6651</v>
      </c>
      <c r="M16" s="40"/>
      <c r="N16" s="360"/>
      <c r="O16" s="132">
        <f>+'Split Debt Service'!G13</f>
        <v>6651</v>
      </c>
      <c r="P16" s="132">
        <f>+'Split Debt Service'!H13</f>
        <v>6925</v>
      </c>
      <c r="Q16" s="132">
        <f>+'Split Debt Service'!I13</f>
        <v>7211</v>
      </c>
      <c r="R16" s="132">
        <f>+'Split Debt Service'!J13</f>
        <v>7508</v>
      </c>
      <c r="S16" s="132">
        <f>+'Split Debt Service'!K13</f>
        <v>7818</v>
      </c>
      <c r="T16" s="132">
        <f>+'Split Debt Service'!L13</f>
        <v>8140</v>
      </c>
      <c r="U16" s="132">
        <f>+'Split Debt Service'!M13</f>
        <v>8476</v>
      </c>
      <c r="V16" s="132">
        <f>+'Split Debt Service'!N13</f>
        <v>8826</v>
      </c>
      <c r="W16" s="132">
        <f>+'Split Debt Service'!O13</f>
        <v>9190</v>
      </c>
      <c r="X16" s="132">
        <f>+'Split Debt Service'!P13</f>
        <v>9569</v>
      </c>
      <c r="Y16" s="132">
        <f>+'Split Debt Service'!Q13</f>
        <v>9964</v>
      </c>
      <c r="Z16" s="132">
        <f>+'Split Debt Service'!R13</f>
        <v>10374</v>
      </c>
      <c r="AA16" s="132">
        <f>+'Split Debt Service'!S13</f>
        <v>10802</v>
      </c>
      <c r="AB16" s="132">
        <f>+'Split Debt Service'!T13</f>
        <v>11248</v>
      </c>
      <c r="AC16" s="132">
        <f>+'Split Debt Service'!U13</f>
        <v>11712</v>
      </c>
      <c r="AD16" s="132">
        <f>+'Split Debt Service'!V13</f>
        <v>12195</v>
      </c>
      <c r="AE16" s="132">
        <f>+'Split Debt Service'!W13</f>
        <v>12698</v>
      </c>
      <c r="AF16" s="132">
        <f>+'Split Debt Service'!X13</f>
        <v>13222</v>
      </c>
      <c r="AG16" s="132">
        <f>+'Split Debt Service'!Y13</f>
        <v>13767</v>
      </c>
      <c r="AH16" s="132">
        <f>+'Split Debt Service'!Z13</f>
        <v>14335</v>
      </c>
      <c r="AI16" s="132">
        <f>+'Split Debt Service'!AA13</f>
        <v>14927</v>
      </c>
      <c r="AJ16" s="132">
        <f>+'Split Debt Service'!AB13</f>
        <v>15542</v>
      </c>
      <c r="AK16" s="132">
        <f>+'Split Debt Service'!AC13</f>
        <v>16184</v>
      </c>
      <c r="AL16" s="132">
        <f>+'Split Debt Service'!AD13</f>
        <v>16851</v>
      </c>
      <c r="AM16" s="132">
        <f>+'Split Debt Service'!AE13</f>
        <v>17546</v>
      </c>
      <c r="AN16" s="132">
        <f>+'Split Debt Service'!AF13</f>
        <v>18270</v>
      </c>
      <c r="AO16" s="132">
        <f>+'Split Debt Service'!AG13</f>
        <v>19024</v>
      </c>
      <c r="AP16" s="132">
        <f>+'Split Debt Service'!AH13</f>
        <v>19685</v>
      </c>
      <c r="AQ16" s="132">
        <f>+'Split Debt Service'!AI13</f>
        <v>0</v>
      </c>
      <c r="AR16" s="132">
        <f>+'Split Debt Service'!AJ13</f>
        <v>0</v>
      </c>
    </row>
    <row r="17" spans="1:44" x14ac:dyDescent="0.2">
      <c r="A17" s="12">
        <v>5934</v>
      </c>
      <c r="B17" s="69" t="s">
        <v>679</v>
      </c>
      <c r="C17" s="263">
        <v>5000</v>
      </c>
      <c r="D17" s="39">
        <v>5000</v>
      </c>
      <c r="E17" s="39">
        <v>5000</v>
      </c>
      <c r="F17" s="39">
        <v>5000</v>
      </c>
      <c r="G17" s="39">
        <v>5000</v>
      </c>
      <c r="H17" s="39">
        <v>5000</v>
      </c>
      <c r="I17" s="244">
        <v>5000</v>
      </c>
      <c r="J17" s="135">
        <v>5000</v>
      </c>
      <c r="K17" s="39">
        <v>5000</v>
      </c>
      <c r="L17" s="135">
        <f t="shared" si="0"/>
        <v>3553</v>
      </c>
      <c r="M17" s="40"/>
      <c r="N17" s="2">
        <f>SUM(O17:V17)</f>
        <v>34149</v>
      </c>
      <c r="O17" s="135">
        <v>3553</v>
      </c>
      <c r="P17" s="135">
        <v>3770</v>
      </c>
      <c r="Q17" s="135">
        <v>3915</v>
      </c>
      <c r="R17" s="135">
        <v>4133</v>
      </c>
      <c r="S17" s="135">
        <v>4350</v>
      </c>
      <c r="T17" s="135">
        <v>4568</v>
      </c>
      <c r="U17" s="135">
        <v>4785</v>
      </c>
      <c r="V17" s="135">
        <v>5075</v>
      </c>
      <c r="W17" s="40"/>
      <c r="X17" s="40"/>
      <c r="Y17" s="40"/>
      <c r="Z17" s="40"/>
      <c r="AA17" s="40"/>
      <c r="AB17" s="40"/>
      <c r="AC17" s="40"/>
      <c r="AD17" s="40"/>
      <c r="AE17" s="40"/>
      <c r="AF17" s="40"/>
      <c r="AG17" s="40"/>
      <c r="AH17" s="40"/>
      <c r="AI17" s="40"/>
      <c r="AJ17" s="40"/>
      <c r="AK17" s="40"/>
      <c r="AL17" s="40"/>
      <c r="AM17" s="40"/>
      <c r="AN17" s="40"/>
      <c r="AO17" s="40"/>
      <c r="AP17" s="40"/>
      <c r="AQ17" s="40"/>
      <c r="AR17" s="40"/>
    </row>
    <row r="18" spans="1:44" hidden="1" x14ac:dyDescent="0.2">
      <c r="A18" s="12">
        <v>5935</v>
      </c>
      <c r="B18" s="69" t="s">
        <v>731</v>
      </c>
      <c r="C18" s="263"/>
      <c r="D18" s="39">
        <v>3652.65</v>
      </c>
      <c r="E18" s="39"/>
      <c r="F18" s="39"/>
      <c r="G18" s="39"/>
      <c r="H18" s="39"/>
      <c r="I18" s="244"/>
      <c r="J18" s="135"/>
      <c r="K18" s="39"/>
      <c r="L18" s="135">
        <f t="shared" si="0"/>
        <v>0</v>
      </c>
      <c r="M18" s="40"/>
      <c r="N18" s="36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row>
    <row r="19" spans="1:44" x14ac:dyDescent="0.2">
      <c r="A19" s="12">
        <v>5936</v>
      </c>
      <c r="B19" s="13" t="s">
        <v>729</v>
      </c>
      <c r="C19" s="39"/>
      <c r="D19" s="39">
        <v>5089.1400000000003</v>
      </c>
      <c r="E19" s="39">
        <v>5216.3599999999997</v>
      </c>
      <c r="F19" s="39">
        <v>5346.77</v>
      </c>
      <c r="G19" s="39">
        <v>5480.44</v>
      </c>
      <c r="H19" s="39">
        <v>5617.47</v>
      </c>
      <c r="I19" s="244">
        <v>5757.9</v>
      </c>
      <c r="J19" s="135">
        <v>5902</v>
      </c>
      <c r="K19" s="39">
        <v>2926.29</v>
      </c>
      <c r="L19" s="135">
        <f t="shared" si="0"/>
        <v>6050</v>
      </c>
      <c r="M19" s="40"/>
      <c r="N19" s="360"/>
      <c r="O19" s="40">
        <v>6050</v>
      </c>
      <c r="P19" s="40">
        <v>6201</v>
      </c>
      <c r="Q19" s="40">
        <v>6356</v>
      </c>
      <c r="R19" s="40">
        <v>6515</v>
      </c>
      <c r="S19" s="40">
        <v>6678</v>
      </c>
      <c r="T19" s="40">
        <v>6845</v>
      </c>
      <c r="U19" s="40">
        <v>7016</v>
      </c>
      <c r="V19" s="40">
        <v>7191</v>
      </c>
      <c r="W19" s="40">
        <v>7371</v>
      </c>
      <c r="X19" s="40">
        <v>7555</v>
      </c>
      <c r="Y19" s="40">
        <v>7744</v>
      </c>
      <c r="Z19" s="40">
        <v>7938</v>
      </c>
      <c r="AA19" s="40">
        <v>8136</v>
      </c>
      <c r="AB19" s="40"/>
      <c r="AC19" s="40"/>
      <c r="AD19" s="40"/>
      <c r="AE19" s="40"/>
      <c r="AF19" s="40"/>
      <c r="AG19" s="40"/>
      <c r="AH19" s="40"/>
      <c r="AI19" s="40"/>
      <c r="AJ19" s="40"/>
      <c r="AK19" s="40"/>
      <c r="AL19" s="40"/>
      <c r="AM19" s="40"/>
      <c r="AN19" s="40"/>
      <c r="AO19" s="40"/>
      <c r="AP19" s="40"/>
      <c r="AQ19" s="40"/>
      <c r="AR19" s="40"/>
    </row>
    <row r="20" spans="1:44" x14ac:dyDescent="0.2">
      <c r="A20" s="30">
        <v>5937</v>
      </c>
      <c r="B20" s="13" t="s">
        <v>930</v>
      </c>
      <c r="C20" s="39"/>
      <c r="D20" s="39"/>
      <c r="E20" s="39">
        <v>8000</v>
      </c>
      <c r="F20" s="39">
        <v>5000</v>
      </c>
      <c r="G20" s="39">
        <v>5000</v>
      </c>
      <c r="H20" s="39">
        <v>5000</v>
      </c>
      <c r="I20" s="39">
        <v>5000</v>
      </c>
      <c r="J20" s="40">
        <v>5000</v>
      </c>
      <c r="K20" s="39"/>
      <c r="L20" s="135">
        <f t="shared" si="0"/>
        <v>5000</v>
      </c>
      <c r="M20" s="40"/>
      <c r="N20" s="360"/>
      <c r="O20" s="40">
        <v>5000</v>
      </c>
      <c r="P20" s="40">
        <v>5000</v>
      </c>
      <c r="Q20" s="40">
        <v>5000</v>
      </c>
      <c r="R20" s="40">
        <v>5000</v>
      </c>
      <c r="S20" s="40">
        <v>5000</v>
      </c>
      <c r="T20" s="40">
        <v>5000</v>
      </c>
      <c r="U20" s="40">
        <v>5000</v>
      </c>
      <c r="V20" s="40">
        <v>5000</v>
      </c>
      <c r="W20" s="40">
        <v>5000</v>
      </c>
      <c r="X20" s="40">
        <v>5000</v>
      </c>
      <c r="Y20" s="40">
        <v>5000</v>
      </c>
      <c r="Z20" s="40">
        <v>5000</v>
      </c>
      <c r="AA20" s="40">
        <v>5000</v>
      </c>
      <c r="AB20" s="40">
        <v>5000</v>
      </c>
      <c r="AC20" s="40"/>
      <c r="AD20" s="40"/>
      <c r="AE20" s="40"/>
      <c r="AF20" s="40"/>
      <c r="AG20" s="40"/>
      <c r="AH20" s="40"/>
      <c r="AI20" s="40"/>
      <c r="AJ20" s="40"/>
      <c r="AK20" s="40"/>
      <c r="AL20" s="40"/>
      <c r="AM20" s="40"/>
      <c r="AN20" s="40"/>
      <c r="AO20" s="40"/>
      <c r="AP20" s="40"/>
      <c r="AQ20" s="40"/>
      <c r="AR20" s="40"/>
    </row>
    <row r="21" spans="1:44" x14ac:dyDescent="0.2">
      <c r="A21" s="30">
        <v>5938</v>
      </c>
      <c r="B21" s="13" t="s">
        <v>760</v>
      </c>
      <c r="C21" s="39"/>
      <c r="D21" s="39"/>
      <c r="E21" s="39">
        <v>10000</v>
      </c>
      <c r="F21" s="39">
        <v>10000</v>
      </c>
      <c r="G21" s="39">
        <v>10000</v>
      </c>
      <c r="H21" s="39">
        <v>10000</v>
      </c>
      <c r="I21" s="39">
        <v>10000</v>
      </c>
      <c r="J21" s="40">
        <v>10000</v>
      </c>
      <c r="K21" s="39"/>
      <c r="L21" s="135">
        <f t="shared" si="0"/>
        <v>10000</v>
      </c>
      <c r="M21" s="40"/>
      <c r="N21" s="360"/>
      <c r="O21" s="40">
        <v>10000</v>
      </c>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row>
    <row r="22" spans="1:44" x14ac:dyDescent="0.2">
      <c r="A22" s="30">
        <v>5939</v>
      </c>
      <c r="B22" s="13" t="s">
        <v>761</v>
      </c>
      <c r="C22" s="39"/>
      <c r="D22" s="39"/>
      <c r="E22" s="39">
        <v>8720.9</v>
      </c>
      <c r="F22" s="39">
        <v>10000</v>
      </c>
      <c r="G22" s="39">
        <v>10000</v>
      </c>
      <c r="H22" s="39">
        <v>10000</v>
      </c>
      <c r="I22" s="39">
        <v>10000</v>
      </c>
      <c r="J22" s="40">
        <v>10000</v>
      </c>
      <c r="K22" s="39"/>
      <c r="L22" s="135">
        <f t="shared" si="0"/>
        <v>10000</v>
      </c>
      <c r="M22" s="40"/>
      <c r="N22" s="360"/>
      <c r="O22" s="40">
        <v>10000</v>
      </c>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row>
    <row r="23" spans="1:44" x14ac:dyDescent="0.2">
      <c r="A23" s="30">
        <v>5944</v>
      </c>
      <c r="B23" s="13" t="s">
        <v>1036</v>
      </c>
      <c r="C23" s="39"/>
      <c r="D23" s="39"/>
      <c r="E23" s="39"/>
      <c r="F23" s="39"/>
      <c r="G23" s="39"/>
      <c r="H23" s="39"/>
      <c r="I23" s="39">
        <v>0</v>
      </c>
      <c r="J23" s="40">
        <v>4000</v>
      </c>
      <c r="K23" s="39">
        <v>4000</v>
      </c>
      <c r="L23" s="135">
        <f t="shared" si="0"/>
        <v>6000</v>
      </c>
      <c r="M23" s="40"/>
      <c r="N23" s="360"/>
      <c r="O23" s="40">
        <v>6000</v>
      </c>
      <c r="P23" s="40">
        <v>6000</v>
      </c>
      <c r="Q23" s="40">
        <v>6000</v>
      </c>
      <c r="R23" s="40">
        <v>7000</v>
      </c>
      <c r="S23" s="40">
        <v>7000</v>
      </c>
      <c r="T23" s="40">
        <v>7000</v>
      </c>
      <c r="U23" s="40">
        <v>8000</v>
      </c>
      <c r="V23" s="40">
        <v>8000</v>
      </c>
      <c r="W23" s="40">
        <v>8000</v>
      </c>
      <c r="X23" s="40">
        <v>8000</v>
      </c>
      <c r="Y23" s="40">
        <v>9000</v>
      </c>
      <c r="Z23" s="40"/>
      <c r="AA23" s="40"/>
      <c r="AB23" s="40"/>
      <c r="AC23" s="40"/>
      <c r="AD23" s="40"/>
      <c r="AE23" s="40"/>
      <c r="AF23" s="40"/>
      <c r="AG23" s="40"/>
      <c r="AH23" s="40"/>
      <c r="AI23" s="40"/>
      <c r="AJ23" s="40"/>
      <c r="AK23" s="40"/>
      <c r="AL23" s="40"/>
      <c r="AM23" s="40"/>
      <c r="AN23" s="40"/>
      <c r="AO23" s="40"/>
      <c r="AP23" s="40"/>
      <c r="AQ23" s="40"/>
      <c r="AR23" s="40"/>
    </row>
    <row r="24" spans="1:44" x14ac:dyDescent="0.2">
      <c r="A24" s="30">
        <v>5947</v>
      </c>
      <c r="B24" s="13" t="s">
        <v>1102</v>
      </c>
      <c r="C24" s="39"/>
      <c r="D24" s="39"/>
      <c r="E24" s="39"/>
      <c r="F24" s="39"/>
      <c r="G24" s="39"/>
      <c r="H24" s="39">
        <v>3679</v>
      </c>
      <c r="I24" s="39">
        <v>0</v>
      </c>
      <c r="J24" s="40">
        <v>4000</v>
      </c>
      <c r="K24" s="39">
        <v>4000</v>
      </c>
      <c r="L24" s="135">
        <f t="shared" si="0"/>
        <v>5000</v>
      </c>
      <c r="M24" s="40"/>
      <c r="N24" s="360"/>
      <c r="O24" s="40">
        <v>5000</v>
      </c>
      <c r="P24" s="40">
        <v>5000</v>
      </c>
      <c r="Q24" s="40">
        <v>6000</v>
      </c>
      <c r="R24" s="40">
        <v>6000</v>
      </c>
      <c r="S24" s="40">
        <v>6000</v>
      </c>
      <c r="T24" s="40">
        <v>6000</v>
      </c>
      <c r="U24" s="40">
        <v>6000</v>
      </c>
      <c r="V24" s="40">
        <v>7000</v>
      </c>
      <c r="W24" s="40">
        <v>7000</v>
      </c>
      <c r="X24" s="40">
        <v>7000</v>
      </c>
      <c r="Y24" s="40">
        <v>7000</v>
      </c>
      <c r="Z24" s="40"/>
      <c r="AA24" s="40"/>
      <c r="AB24" s="40"/>
      <c r="AC24" s="40"/>
      <c r="AD24" s="40"/>
      <c r="AE24" s="40"/>
      <c r="AF24" s="40"/>
      <c r="AG24" s="40"/>
      <c r="AH24" s="40"/>
      <c r="AI24" s="40"/>
      <c r="AJ24" s="40"/>
      <c r="AK24" s="40"/>
      <c r="AL24" s="40"/>
      <c r="AM24" s="40"/>
      <c r="AN24" s="40"/>
      <c r="AO24" s="40"/>
      <c r="AP24" s="40"/>
      <c r="AQ24" s="40"/>
      <c r="AR24" s="40"/>
    </row>
    <row r="25" spans="1:44" x14ac:dyDescent="0.2">
      <c r="A25" s="30">
        <v>5948</v>
      </c>
      <c r="B25" s="31" t="s">
        <v>1275</v>
      </c>
      <c r="C25" s="39"/>
      <c r="D25" s="39"/>
      <c r="E25" s="39"/>
      <c r="F25" s="39"/>
      <c r="G25" s="39"/>
      <c r="H25" s="39"/>
      <c r="I25" s="39"/>
      <c r="J25" s="40">
        <v>13000</v>
      </c>
      <c r="K25" s="39">
        <v>13000</v>
      </c>
      <c r="L25" s="135">
        <f t="shared" si="0"/>
        <v>21000</v>
      </c>
      <c r="M25" s="40"/>
      <c r="N25" s="360"/>
      <c r="O25" s="40">
        <v>21000</v>
      </c>
      <c r="P25" s="40">
        <v>22000</v>
      </c>
      <c r="Q25" s="40">
        <v>23000</v>
      </c>
      <c r="R25" s="40">
        <v>24000</v>
      </c>
      <c r="S25" s="40">
        <v>25000</v>
      </c>
      <c r="T25" s="40">
        <v>26000</v>
      </c>
      <c r="U25" s="40">
        <v>27000</v>
      </c>
      <c r="V25" s="40">
        <v>28000</v>
      </c>
      <c r="W25" s="40">
        <v>29000</v>
      </c>
      <c r="X25" s="40">
        <v>30000</v>
      </c>
      <c r="Y25" s="40">
        <v>30000</v>
      </c>
      <c r="Z25" s="40">
        <v>31000</v>
      </c>
      <c r="AA25" s="40">
        <v>32000</v>
      </c>
      <c r="AB25" s="40">
        <v>33000</v>
      </c>
      <c r="AC25" s="40">
        <v>34000</v>
      </c>
      <c r="AD25" s="40">
        <v>36000</v>
      </c>
      <c r="AE25" s="40">
        <v>37000</v>
      </c>
      <c r="AF25" s="40">
        <v>38000</v>
      </c>
      <c r="AG25" s="40">
        <v>40000</v>
      </c>
      <c r="AH25" s="40"/>
      <c r="AI25" s="40"/>
      <c r="AJ25" s="40"/>
      <c r="AK25" s="40"/>
      <c r="AL25" s="40"/>
      <c r="AM25" s="40"/>
      <c r="AN25" s="40"/>
      <c r="AO25" s="40"/>
      <c r="AP25" s="40"/>
      <c r="AQ25" s="40"/>
      <c r="AR25" s="40"/>
    </row>
    <row r="26" spans="1:44" x14ac:dyDescent="0.2">
      <c r="A26" s="30">
        <v>5949</v>
      </c>
      <c r="B26" s="31" t="s">
        <v>1276</v>
      </c>
      <c r="C26" s="39"/>
      <c r="D26" s="39"/>
      <c r="E26" s="39"/>
      <c r="F26" s="39"/>
      <c r="G26" s="39"/>
      <c r="H26" s="39"/>
      <c r="I26" s="39"/>
      <c r="J26" s="40">
        <v>35000</v>
      </c>
      <c r="K26" s="39">
        <v>35000</v>
      </c>
      <c r="L26" s="135">
        <f t="shared" si="0"/>
        <v>64000</v>
      </c>
      <c r="M26" s="40"/>
      <c r="N26" s="360"/>
      <c r="O26" s="40">
        <v>64000</v>
      </c>
      <c r="P26" s="40">
        <v>72000</v>
      </c>
      <c r="Q26" s="40">
        <v>72000</v>
      </c>
      <c r="R26" s="40">
        <v>78000</v>
      </c>
      <c r="S26" s="40">
        <v>82000</v>
      </c>
      <c r="T26" s="40">
        <v>84000</v>
      </c>
      <c r="U26" s="40">
        <v>86000</v>
      </c>
      <c r="V26" s="40">
        <v>86000</v>
      </c>
      <c r="W26" s="40">
        <v>93000</v>
      </c>
      <c r="X26" s="40">
        <v>95000</v>
      </c>
      <c r="Y26" s="40">
        <v>97000</v>
      </c>
      <c r="Z26" s="40">
        <v>101000</v>
      </c>
      <c r="AA26" s="40">
        <v>104000</v>
      </c>
      <c r="AB26" s="40">
        <v>105000</v>
      </c>
      <c r="AC26" s="40">
        <v>108000</v>
      </c>
      <c r="AD26" s="40">
        <v>114000</v>
      </c>
      <c r="AE26" s="40">
        <v>115000</v>
      </c>
      <c r="AF26" s="40">
        <v>118000</v>
      </c>
      <c r="AG26" s="40">
        <v>123000</v>
      </c>
      <c r="AH26" s="40">
        <v>126000</v>
      </c>
      <c r="AI26" s="40">
        <v>129000</v>
      </c>
      <c r="AJ26" s="40">
        <v>134000</v>
      </c>
      <c r="AK26" s="40">
        <v>137000</v>
      </c>
      <c r="AL26" s="40">
        <v>145000</v>
      </c>
      <c r="AM26" s="40"/>
      <c r="AN26" s="40"/>
      <c r="AO26" s="40"/>
      <c r="AP26" s="40"/>
      <c r="AQ26" s="40"/>
      <c r="AR26" s="40"/>
    </row>
    <row r="27" spans="1:44" x14ac:dyDescent="0.2">
      <c r="A27" s="30">
        <v>5950</v>
      </c>
      <c r="B27" s="31" t="s">
        <v>1392</v>
      </c>
      <c r="C27" s="39"/>
      <c r="D27" s="39"/>
      <c r="E27" s="39"/>
      <c r="F27" s="39"/>
      <c r="G27" s="39"/>
      <c r="H27" s="39"/>
      <c r="I27" s="39"/>
      <c r="J27" s="40"/>
      <c r="K27" s="39"/>
      <c r="L27" s="135">
        <f t="shared" si="0"/>
        <v>135000</v>
      </c>
      <c r="M27" s="40"/>
      <c r="N27" s="2"/>
      <c r="O27" s="40">
        <v>135000</v>
      </c>
      <c r="P27" s="40">
        <v>145000</v>
      </c>
      <c r="Q27" s="40">
        <v>155000</v>
      </c>
      <c r="R27" s="40">
        <v>160000</v>
      </c>
      <c r="S27" s="40">
        <v>170000</v>
      </c>
      <c r="T27" s="40">
        <v>180000</v>
      </c>
      <c r="U27" s="40">
        <v>190000</v>
      </c>
      <c r="V27" s="40">
        <v>200000</v>
      </c>
      <c r="W27" s="40">
        <v>205000</v>
      </c>
      <c r="X27" s="40">
        <v>220000</v>
      </c>
      <c r="Y27" s="40">
        <v>230000</v>
      </c>
      <c r="Z27" s="40">
        <v>235000</v>
      </c>
      <c r="AA27" s="40">
        <v>240000</v>
      </c>
      <c r="AB27" s="40">
        <v>245000</v>
      </c>
      <c r="AC27" s="40">
        <v>250000</v>
      </c>
      <c r="AD27" s="40">
        <v>255000</v>
      </c>
      <c r="AE27" s="40">
        <v>260000</v>
      </c>
      <c r="AF27" s="40">
        <v>265000</v>
      </c>
      <c r="AG27" s="40">
        <v>270000</v>
      </c>
      <c r="AH27" s="40">
        <v>280000</v>
      </c>
      <c r="AI27" s="40">
        <v>285000</v>
      </c>
      <c r="AJ27" s="40">
        <v>290000</v>
      </c>
      <c r="AK27" s="40">
        <v>300000</v>
      </c>
      <c r="AL27" s="40">
        <v>305000</v>
      </c>
      <c r="AM27" s="40">
        <v>315000</v>
      </c>
      <c r="AN27" s="40"/>
      <c r="AO27" s="40"/>
      <c r="AP27" s="40"/>
      <c r="AQ27" s="40"/>
      <c r="AR27" s="40"/>
    </row>
    <row r="28" spans="1:44" ht="13.5" thickBot="1" x14ac:dyDescent="0.25">
      <c r="A28" s="12"/>
      <c r="B28" s="13"/>
      <c r="C28" s="16"/>
      <c r="D28" s="16"/>
      <c r="E28" s="16"/>
      <c r="F28" s="16"/>
      <c r="G28" s="16"/>
      <c r="H28" s="16"/>
      <c r="I28" s="16"/>
      <c r="J28" s="17"/>
      <c r="K28" s="16"/>
      <c r="L28" s="17"/>
      <c r="M28" s="17"/>
      <c r="N28" s="360"/>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row>
    <row r="29" spans="1:44" x14ac:dyDescent="0.2">
      <c r="A29" s="12"/>
      <c r="B29" s="18" t="s">
        <v>223</v>
      </c>
      <c r="C29" s="19">
        <f>SUM(C9:C28)</f>
        <v>352041.57999999996</v>
      </c>
      <c r="D29" s="19">
        <f>SUM(D9:D28)</f>
        <v>361807.59000000008</v>
      </c>
      <c r="E29" s="19">
        <f>SUM(E9:E28)</f>
        <v>396291.01</v>
      </c>
      <c r="F29" s="19">
        <f>SUM(F10:F28)</f>
        <v>406027.3</v>
      </c>
      <c r="G29" s="19">
        <f>SUM(G10:G28)</f>
        <v>417526.67000000004</v>
      </c>
      <c r="H29" s="19">
        <f>SUM(H10:H28)</f>
        <v>407748.56999999995</v>
      </c>
      <c r="I29" s="19">
        <f>SUM(I9:I28)</f>
        <v>410658.50000000006</v>
      </c>
      <c r="J29" s="20">
        <f>SUM(J9:J28)</f>
        <v>478295</v>
      </c>
      <c r="K29" s="19">
        <f>SUM(K10:K28)</f>
        <v>450318.14999999991</v>
      </c>
      <c r="L29" s="20">
        <f>SUM(L9:L28)</f>
        <v>580976</v>
      </c>
      <c r="M29" s="20">
        <f>SUM(M9:M28)</f>
        <v>0</v>
      </c>
      <c r="N29" s="360"/>
      <c r="O29" s="20">
        <f t="shared" ref="O29:AR29" si="2">SUM(O8:O28)</f>
        <v>580976</v>
      </c>
      <c r="P29" s="20">
        <f t="shared" si="2"/>
        <v>596064</v>
      </c>
      <c r="Q29" s="20">
        <f t="shared" si="2"/>
        <v>619515</v>
      </c>
      <c r="R29" s="20">
        <f t="shared" si="2"/>
        <v>651005</v>
      </c>
      <c r="S29" s="20">
        <f t="shared" si="2"/>
        <v>682532</v>
      </c>
      <c r="T29" s="20">
        <f t="shared" si="2"/>
        <v>712103</v>
      </c>
      <c r="U29" s="20">
        <f t="shared" si="2"/>
        <v>742714</v>
      </c>
      <c r="V29" s="20">
        <f t="shared" si="2"/>
        <v>739861</v>
      </c>
      <c r="W29" s="20">
        <f t="shared" si="2"/>
        <v>404085</v>
      </c>
      <c r="X29" s="20">
        <f t="shared" si="2"/>
        <v>423345</v>
      </c>
      <c r="Y29" s="20">
        <f t="shared" si="2"/>
        <v>439643</v>
      </c>
      <c r="Z29" s="20">
        <f t="shared" si="2"/>
        <v>434979</v>
      </c>
      <c r="AA29" s="20">
        <f t="shared" si="2"/>
        <v>445354</v>
      </c>
      <c r="AB29" s="20">
        <f t="shared" si="2"/>
        <v>445432</v>
      </c>
      <c r="AC29" s="20">
        <f t="shared" si="2"/>
        <v>450682</v>
      </c>
      <c r="AD29" s="20">
        <f t="shared" si="2"/>
        <v>464971</v>
      </c>
      <c r="AE29" s="20">
        <f t="shared" si="2"/>
        <v>473299</v>
      </c>
      <c r="AF29" s="20">
        <f t="shared" si="2"/>
        <v>485668</v>
      </c>
      <c r="AG29" s="20">
        <f t="shared" si="2"/>
        <v>462767</v>
      </c>
      <c r="AH29" s="20">
        <f t="shared" si="2"/>
        <v>436335</v>
      </c>
      <c r="AI29" s="20">
        <f t="shared" si="2"/>
        <v>444927</v>
      </c>
      <c r="AJ29" s="20">
        <f t="shared" si="2"/>
        <v>455542</v>
      </c>
      <c r="AK29" s="20">
        <f t="shared" si="2"/>
        <v>471184</v>
      </c>
      <c r="AL29" s="20">
        <f t="shared" si="2"/>
        <v>484851</v>
      </c>
      <c r="AM29" s="20">
        <f t="shared" si="2"/>
        <v>350546</v>
      </c>
      <c r="AN29" s="20">
        <f t="shared" si="2"/>
        <v>18270</v>
      </c>
      <c r="AO29" s="20">
        <f t="shared" si="2"/>
        <v>19024</v>
      </c>
      <c r="AP29" s="20">
        <f t="shared" si="2"/>
        <v>19685</v>
      </c>
      <c r="AQ29" s="20">
        <f t="shared" si="2"/>
        <v>0</v>
      </c>
      <c r="AR29" s="20">
        <f t="shared" si="2"/>
        <v>0</v>
      </c>
    </row>
    <row r="30" spans="1:44" x14ac:dyDescent="0.2">
      <c r="A30" s="12"/>
      <c r="B30" s="13"/>
      <c r="C30" s="14"/>
      <c r="D30" s="155"/>
      <c r="E30" s="155"/>
      <c r="F30" s="155"/>
      <c r="G30" s="155"/>
      <c r="H30" s="155"/>
      <c r="I30" s="155"/>
      <c r="J30" s="184"/>
      <c r="K30" s="14"/>
      <c r="L30" s="184"/>
      <c r="M30" s="184"/>
      <c r="N30" s="360"/>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row>
    <row r="31" spans="1:44" x14ac:dyDescent="0.2">
      <c r="A31" s="12">
        <v>751</v>
      </c>
      <c r="B31" s="13" t="s">
        <v>224</v>
      </c>
      <c r="C31" s="14"/>
      <c r="D31" s="155"/>
      <c r="E31" s="155"/>
      <c r="F31" s="155"/>
      <c r="G31" s="155"/>
      <c r="H31" s="155"/>
      <c r="I31" s="155"/>
      <c r="J31" s="184"/>
      <c r="K31" s="14"/>
      <c r="L31" s="184"/>
      <c r="M31" s="184"/>
      <c r="N31" s="360"/>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row>
    <row r="32" spans="1:44" x14ac:dyDescent="0.2">
      <c r="A32" s="12">
        <v>5910</v>
      </c>
      <c r="B32" s="13" t="s">
        <v>222</v>
      </c>
      <c r="C32" s="39">
        <v>14445</v>
      </c>
      <c r="D32" s="39">
        <v>12477.5</v>
      </c>
      <c r="E32" s="39">
        <v>10605</v>
      </c>
      <c r="F32" s="39">
        <v>8715</v>
      </c>
      <c r="G32" s="39">
        <v>6807.5</v>
      </c>
      <c r="H32" s="39">
        <v>4882.5</v>
      </c>
      <c r="I32" s="244">
        <v>2940</v>
      </c>
      <c r="J32" s="135">
        <v>980</v>
      </c>
      <c r="K32" s="39">
        <v>980</v>
      </c>
      <c r="L32" s="135">
        <f t="shared" ref="L32:L50" si="3">+O32</f>
        <v>0</v>
      </c>
      <c r="M32" s="40"/>
      <c r="N32" s="36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row>
    <row r="33" spans="1:44" x14ac:dyDescent="0.2">
      <c r="A33" s="12">
        <v>5916</v>
      </c>
      <c r="B33" s="13" t="s">
        <v>386</v>
      </c>
      <c r="C33" s="14">
        <v>19175</v>
      </c>
      <c r="D33" s="14">
        <v>16425</v>
      </c>
      <c r="E33" s="14">
        <v>13675</v>
      </c>
      <c r="F33" s="14">
        <v>10925</v>
      </c>
      <c r="G33" s="14">
        <v>8175</v>
      </c>
      <c r="H33" s="14">
        <v>6300</v>
      </c>
      <c r="I33" s="156">
        <v>5400</v>
      </c>
      <c r="J33" s="132">
        <v>4600</v>
      </c>
      <c r="K33" s="14">
        <v>2500</v>
      </c>
      <c r="L33" s="135">
        <f t="shared" si="3"/>
        <v>3900</v>
      </c>
      <c r="M33" s="40"/>
      <c r="N33" s="360"/>
      <c r="O33" s="15">
        <f>700+600+1400+1200</f>
        <v>3900</v>
      </c>
      <c r="P33" s="15">
        <f>600+500+1200+1000</f>
        <v>3300</v>
      </c>
      <c r="Q33" s="15">
        <f>500+400+1000+800</f>
        <v>2700</v>
      </c>
      <c r="R33" s="15">
        <f>400+300+800+600</f>
        <v>2100</v>
      </c>
      <c r="S33" s="15">
        <f>300+200+600+400</f>
        <v>1500</v>
      </c>
      <c r="T33" s="15">
        <f>200+100+400+200</f>
        <v>900</v>
      </c>
      <c r="U33" s="15">
        <f>100+200</f>
        <v>300</v>
      </c>
      <c r="V33" s="15"/>
      <c r="W33" s="15"/>
      <c r="X33" s="15"/>
      <c r="Y33" s="15"/>
      <c r="Z33" s="15"/>
      <c r="AA33" s="15"/>
      <c r="AB33" s="15"/>
      <c r="AC33" s="15"/>
      <c r="AD33" s="15"/>
      <c r="AE33" s="15"/>
      <c r="AF33" s="15"/>
      <c r="AG33" s="15"/>
      <c r="AH33" s="15"/>
      <c r="AI33" s="15"/>
      <c r="AJ33" s="15"/>
      <c r="AK33" s="15"/>
      <c r="AL33" s="15"/>
      <c r="AM33" s="15"/>
      <c r="AN33" s="15"/>
      <c r="AO33" s="15"/>
      <c r="AP33" s="15"/>
      <c r="AQ33" s="15"/>
      <c r="AR33" s="15"/>
    </row>
    <row r="34" spans="1:44" x14ac:dyDescent="0.2">
      <c r="A34" s="12">
        <v>5920</v>
      </c>
      <c r="B34" s="13" t="s">
        <v>933</v>
      </c>
      <c r="C34" s="14">
        <v>173250</v>
      </c>
      <c r="D34" s="14">
        <v>169100</v>
      </c>
      <c r="E34" s="14">
        <v>163700</v>
      </c>
      <c r="F34" s="14">
        <v>156950</v>
      </c>
      <c r="G34" s="14">
        <v>149900</v>
      </c>
      <c r="H34" s="14">
        <v>141200</v>
      </c>
      <c r="I34" s="156">
        <v>130800</v>
      </c>
      <c r="J34" s="132">
        <v>120000</v>
      </c>
      <c r="K34" s="14">
        <v>62750</v>
      </c>
      <c r="L34" s="135">
        <f t="shared" si="3"/>
        <v>118944</v>
      </c>
      <c r="M34" s="40"/>
      <c r="N34" s="2">
        <f>SUM(O34:V34)</f>
        <v>555523</v>
      </c>
      <c r="O34" s="15">
        <v>118944</v>
      </c>
      <c r="P34" s="15">
        <v>103971</v>
      </c>
      <c r="Q34" s="15">
        <v>91159</v>
      </c>
      <c r="R34" s="15">
        <v>77855</v>
      </c>
      <c r="S34" s="15">
        <v>63812</v>
      </c>
      <c r="T34" s="15">
        <v>49029</v>
      </c>
      <c r="U34" s="15">
        <v>33507</v>
      </c>
      <c r="V34" s="15">
        <v>17246</v>
      </c>
      <c r="W34" s="15"/>
      <c r="X34" s="15"/>
      <c r="Y34" s="15"/>
      <c r="Z34" s="15"/>
      <c r="AA34" s="15"/>
      <c r="AB34" s="15"/>
      <c r="AC34" s="15"/>
      <c r="AD34" s="15"/>
      <c r="AE34" s="15"/>
      <c r="AF34" s="15"/>
      <c r="AG34" s="15"/>
      <c r="AH34" s="15"/>
      <c r="AI34" s="15"/>
      <c r="AJ34" s="15"/>
      <c r="AK34" s="15"/>
      <c r="AL34" s="15"/>
      <c r="AM34" s="15"/>
      <c r="AN34" s="15"/>
      <c r="AO34" s="15"/>
      <c r="AP34" s="15"/>
      <c r="AQ34" s="15"/>
      <c r="AR34" s="15"/>
    </row>
    <row r="35" spans="1:44" x14ac:dyDescent="0.2">
      <c r="A35" s="12">
        <v>5930</v>
      </c>
      <c r="B35" s="69" t="s">
        <v>36</v>
      </c>
      <c r="C35" s="14">
        <v>5857.8</v>
      </c>
      <c r="D35" s="14">
        <v>5506</v>
      </c>
      <c r="E35" s="14">
        <v>5147.08</v>
      </c>
      <c r="F35" s="14">
        <v>4780.91</v>
      </c>
      <c r="G35" s="14">
        <v>4446.9399999999996</v>
      </c>
      <c r="H35" s="14">
        <v>4026.22</v>
      </c>
      <c r="I35" s="156">
        <v>3637.42</v>
      </c>
      <c r="J35" s="132">
        <v>3241</v>
      </c>
      <c r="K35" s="14">
        <v>3240.76</v>
      </c>
      <c r="L35" s="135">
        <f t="shared" si="3"/>
        <v>2836</v>
      </c>
      <c r="M35" s="40"/>
      <c r="N35" s="360"/>
      <c r="O35" s="132">
        <f>+'Split Debt Service'!G17</f>
        <v>2836</v>
      </c>
      <c r="P35" s="132">
        <f>+'Split Debt Service'!H17</f>
        <v>2424</v>
      </c>
      <c r="Q35" s="132">
        <f>+'Split Debt Service'!I17</f>
        <v>2002</v>
      </c>
      <c r="R35" s="132">
        <f>+'Split Debt Service'!J17</f>
        <v>1572</v>
      </c>
      <c r="S35" s="132">
        <f>+'Split Debt Service'!K17</f>
        <v>1134</v>
      </c>
      <c r="T35" s="132">
        <f>+'Split Debt Service'!L17</f>
        <v>687</v>
      </c>
      <c r="U35" s="132">
        <f>+'Split Debt Service'!M17</f>
        <v>231</v>
      </c>
      <c r="V35" s="132">
        <f>+'Split Debt Service'!N17</f>
        <v>0</v>
      </c>
      <c r="W35" s="132">
        <f>+'Split Debt Service'!O17</f>
        <v>0</v>
      </c>
      <c r="X35" s="132">
        <f>+'Split Debt Service'!P17</f>
        <v>0</v>
      </c>
      <c r="Y35" s="132">
        <f>+'Split Debt Service'!Q17</f>
        <v>0</v>
      </c>
      <c r="Z35" s="132">
        <f>+'Split Debt Service'!R17</f>
        <v>0</v>
      </c>
      <c r="AA35" s="132">
        <f>+'Split Debt Service'!S17</f>
        <v>0</v>
      </c>
      <c r="AB35" s="132">
        <f>+'Split Debt Service'!T17</f>
        <v>0</v>
      </c>
      <c r="AC35" s="132">
        <f>+'Split Debt Service'!U17</f>
        <v>0</v>
      </c>
      <c r="AD35" s="132">
        <f>+'Split Debt Service'!V17</f>
        <v>0</v>
      </c>
      <c r="AE35" s="132">
        <f>+'Split Debt Service'!W17</f>
        <v>0</v>
      </c>
      <c r="AF35" s="132">
        <f>+'Split Debt Service'!X17</f>
        <v>0</v>
      </c>
      <c r="AG35" s="132">
        <f>+'Split Debt Service'!Y17</f>
        <v>0</v>
      </c>
      <c r="AH35" s="132">
        <f>+'Split Debt Service'!Z17</f>
        <v>0</v>
      </c>
      <c r="AI35" s="132">
        <f>+'Split Debt Service'!AA17</f>
        <v>0</v>
      </c>
      <c r="AJ35" s="132">
        <f>+'Split Debt Service'!AB17</f>
        <v>0</v>
      </c>
      <c r="AK35" s="132">
        <f>+'Split Debt Service'!AC17</f>
        <v>0</v>
      </c>
      <c r="AL35" s="132">
        <f>+'Split Debt Service'!AD17</f>
        <v>0</v>
      </c>
      <c r="AM35" s="132">
        <f>+'Split Debt Service'!AE17</f>
        <v>0</v>
      </c>
      <c r="AN35" s="132">
        <f>+'Split Debt Service'!AF17</f>
        <v>0</v>
      </c>
      <c r="AO35" s="132">
        <f>+'Split Debt Service'!AG17</f>
        <v>0</v>
      </c>
      <c r="AP35" s="132">
        <f>+'Split Debt Service'!AH17</f>
        <v>0</v>
      </c>
      <c r="AQ35" s="132">
        <f>+'Split Debt Service'!AI17</f>
        <v>0</v>
      </c>
      <c r="AR35" s="132">
        <f>+'Split Debt Service'!AJ17</f>
        <v>0</v>
      </c>
    </row>
    <row r="36" spans="1:44" x14ac:dyDescent="0.2">
      <c r="A36" s="12" t="s">
        <v>599</v>
      </c>
      <c r="B36" s="69" t="s">
        <v>39</v>
      </c>
      <c r="C36" s="39">
        <v>552.4</v>
      </c>
      <c r="D36" s="39">
        <v>412.96</v>
      </c>
      <c r="E36" s="39">
        <v>386.04</v>
      </c>
      <c r="F36" s="39">
        <v>358.57</v>
      </c>
      <c r="G36" s="39">
        <v>330.55</v>
      </c>
      <c r="H36" s="39">
        <v>301.97000000000003</v>
      </c>
      <c r="I36" s="156">
        <v>272.81</v>
      </c>
      <c r="J36" s="135">
        <v>243</v>
      </c>
      <c r="K36" s="39">
        <v>114.02</v>
      </c>
      <c r="L36" s="135">
        <f t="shared" si="3"/>
        <v>213</v>
      </c>
      <c r="M36" s="40"/>
      <c r="N36" s="360"/>
      <c r="O36" s="132">
        <f>+'Split Debt Service'!G18</f>
        <v>213</v>
      </c>
      <c r="P36" s="132">
        <f>+'Split Debt Service'!H18</f>
        <v>182</v>
      </c>
      <c r="Q36" s="132">
        <f>+'Split Debt Service'!I18</f>
        <v>150</v>
      </c>
      <c r="R36" s="132">
        <f>+'Split Debt Service'!J18</f>
        <v>118</v>
      </c>
      <c r="S36" s="132">
        <f>+'Split Debt Service'!K18</f>
        <v>85</v>
      </c>
      <c r="T36" s="132">
        <f>+'Split Debt Service'!L18</f>
        <v>52</v>
      </c>
      <c r="U36" s="132">
        <f>+'Split Debt Service'!M18</f>
        <v>178</v>
      </c>
      <c r="V36" s="132">
        <f>+'Split Debt Service'!N18</f>
        <v>0</v>
      </c>
      <c r="W36" s="132">
        <f>+'Split Debt Service'!O18</f>
        <v>0</v>
      </c>
      <c r="X36" s="132">
        <f>+'Split Debt Service'!P18</f>
        <v>0</v>
      </c>
      <c r="Y36" s="132">
        <f>+'Split Debt Service'!Q18</f>
        <v>0</v>
      </c>
      <c r="Z36" s="132">
        <f>+'Split Debt Service'!R18</f>
        <v>0</v>
      </c>
      <c r="AA36" s="132">
        <f>+'Split Debt Service'!S18</f>
        <v>0</v>
      </c>
      <c r="AB36" s="132">
        <f>+'Split Debt Service'!T18</f>
        <v>0</v>
      </c>
      <c r="AC36" s="132">
        <f>+'Split Debt Service'!U18</f>
        <v>0</v>
      </c>
      <c r="AD36" s="132">
        <f>+'Split Debt Service'!V18</f>
        <v>0</v>
      </c>
      <c r="AE36" s="132">
        <f>+'Split Debt Service'!W18</f>
        <v>0</v>
      </c>
      <c r="AF36" s="132">
        <f>+'Split Debt Service'!X18</f>
        <v>0</v>
      </c>
      <c r="AG36" s="132">
        <f>+'Split Debt Service'!Y18</f>
        <v>0</v>
      </c>
      <c r="AH36" s="132">
        <f>+'Split Debt Service'!Z18</f>
        <v>0</v>
      </c>
      <c r="AI36" s="132">
        <f>+'Split Debt Service'!AA18</f>
        <v>0</v>
      </c>
      <c r="AJ36" s="132">
        <f>+'Split Debt Service'!AB18</f>
        <v>0</v>
      </c>
      <c r="AK36" s="132">
        <f>+'Split Debt Service'!AC18</f>
        <v>0</v>
      </c>
      <c r="AL36" s="132">
        <f>+'Split Debt Service'!AD18</f>
        <v>0</v>
      </c>
      <c r="AM36" s="132">
        <f>+'Split Debt Service'!AE18</f>
        <v>0</v>
      </c>
      <c r="AN36" s="132">
        <f>+'Split Debt Service'!AF18</f>
        <v>0</v>
      </c>
      <c r="AO36" s="132">
        <f>+'Split Debt Service'!AG18</f>
        <v>0</v>
      </c>
      <c r="AP36" s="132">
        <f>+'Split Debt Service'!AH18</f>
        <v>0</v>
      </c>
      <c r="AQ36" s="132">
        <f>+'Split Debt Service'!AI18</f>
        <v>0</v>
      </c>
      <c r="AR36" s="132">
        <f>+'Split Debt Service'!AJ18</f>
        <v>0</v>
      </c>
    </row>
    <row r="37" spans="1:44" x14ac:dyDescent="0.2">
      <c r="A37" s="12">
        <v>5931</v>
      </c>
      <c r="B37" s="69" t="s">
        <v>37</v>
      </c>
      <c r="C37" s="39">
        <v>16489.34</v>
      </c>
      <c r="D37" s="14">
        <v>16015.69</v>
      </c>
      <c r="E37" s="14">
        <v>15530.44</v>
      </c>
      <c r="F37" s="14">
        <v>15033.34</v>
      </c>
      <c r="G37" s="14">
        <v>14524.1</v>
      </c>
      <c r="H37" s="14">
        <v>14002.41</v>
      </c>
      <c r="I37" s="156">
        <v>13467.98</v>
      </c>
      <c r="J37" s="135">
        <v>12921</v>
      </c>
      <c r="K37" s="39">
        <v>12920.49</v>
      </c>
      <c r="L37" s="135">
        <f t="shared" si="3"/>
        <v>12360</v>
      </c>
      <c r="M37" s="40"/>
      <c r="N37" s="360"/>
      <c r="O37" s="132">
        <f>+'Split Debt Service'!G19</f>
        <v>12360</v>
      </c>
      <c r="P37" s="132">
        <f>+'Split Debt Service'!H19</f>
        <v>11785</v>
      </c>
      <c r="Q37" s="132">
        <f>+'Split Debt Service'!I19</f>
        <v>11197</v>
      </c>
      <c r="R37" s="132">
        <f>+'Split Debt Service'!J19</f>
        <v>10594</v>
      </c>
      <c r="S37" s="132">
        <f>+'Split Debt Service'!K19</f>
        <v>9976</v>
      </c>
      <c r="T37" s="132">
        <f>+'Split Debt Service'!L19</f>
        <v>9343</v>
      </c>
      <c r="U37" s="132">
        <f>+'Split Debt Service'!M19</f>
        <v>8695</v>
      </c>
      <c r="V37" s="132">
        <f>+'Split Debt Service'!N19</f>
        <v>8030</v>
      </c>
      <c r="W37" s="132">
        <f>+'Split Debt Service'!O19</f>
        <v>7350</v>
      </c>
      <c r="X37" s="132">
        <f>+'Split Debt Service'!P19</f>
        <v>6653</v>
      </c>
      <c r="Y37" s="132">
        <f>+'Split Debt Service'!Q19</f>
        <v>5939</v>
      </c>
      <c r="Z37" s="132">
        <f>+'Split Debt Service'!R19</f>
        <v>5208</v>
      </c>
      <c r="AA37" s="132">
        <f>+'Split Debt Service'!S19</f>
        <v>4458</v>
      </c>
      <c r="AB37" s="132">
        <f>+'Split Debt Service'!T19</f>
        <v>3691</v>
      </c>
      <c r="AC37" s="132">
        <f>+'Split Debt Service'!U19</f>
        <v>2904</v>
      </c>
      <c r="AD37" s="132">
        <f>+'Split Debt Service'!V19</f>
        <v>2099</v>
      </c>
      <c r="AE37" s="132">
        <f>+'Split Debt Service'!W19</f>
        <v>1274</v>
      </c>
      <c r="AF37" s="132">
        <f>+'Split Debt Service'!X19</f>
        <v>428</v>
      </c>
      <c r="AG37" s="132">
        <f>+'Split Debt Service'!Y19</f>
        <v>0</v>
      </c>
      <c r="AH37" s="132">
        <f>+'Split Debt Service'!Z19</f>
        <v>0</v>
      </c>
      <c r="AI37" s="132">
        <f>+'Split Debt Service'!AA19</f>
        <v>0</v>
      </c>
      <c r="AJ37" s="132">
        <f>+'Split Debt Service'!AB19</f>
        <v>0</v>
      </c>
      <c r="AK37" s="132">
        <f>+'Split Debt Service'!AC19</f>
        <v>0</v>
      </c>
      <c r="AL37" s="132">
        <f>+'Split Debt Service'!AD19</f>
        <v>0</v>
      </c>
      <c r="AM37" s="132">
        <f>+'Split Debt Service'!AE19</f>
        <v>0</v>
      </c>
      <c r="AN37" s="132">
        <f>+'Split Debt Service'!AF19</f>
        <v>0</v>
      </c>
      <c r="AO37" s="132">
        <f>+'Split Debt Service'!AG19</f>
        <v>0</v>
      </c>
      <c r="AP37" s="132">
        <f>+'Split Debt Service'!AH19</f>
        <v>0</v>
      </c>
      <c r="AQ37" s="132">
        <f>+'Split Debt Service'!AI19</f>
        <v>0</v>
      </c>
      <c r="AR37" s="132">
        <f>+'Split Debt Service'!AJ19</f>
        <v>0</v>
      </c>
    </row>
    <row r="38" spans="1:44" x14ac:dyDescent="0.2">
      <c r="A38" s="12" t="s">
        <v>600</v>
      </c>
      <c r="B38" s="69" t="s">
        <v>40</v>
      </c>
      <c r="C38" s="39">
        <v>1024.6199999999999</v>
      </c>
      <c r="D38" s="14">
        <v>995.18</v>
      </c>
      <c r="E38" s="14">
        <v>965.02</v>
      </c>
      <c r="F38" s="14">
        <v>934.13</v>
      </c>
      <c r="G38" s="14">
        <v>902.49</v>
      </c>
      <c r="H38" s="14">
        <v>870.08</v>
      </c>
      <c r="I38" s="156">
        <v>836.87</v>
      </c>
      <c r="J38" s="135">
        <v>803</v>
      </c>
      <c r="K38" s="39">
        <v>931.89</v>
      </c>
      <c r="L38" s="135">
        <f t="shared" si="3"/>
        <v>768</v>
      </c>
      <c r="M38" s="40"/>
      <c r="N38" s="360"/>
      <c r="O38" s="132">
        <f>+'Split Debt Service'!G20</f>
        <v>768</v>
      </c>
      <c r="P38" s="132">
        <f>+'Split Debt Service'!H20</f>
        <v>732</v>
      </c>
      <c r="Q38" s="132">
        <f>+'Split Debt Service'!I20</f>
        <v>696</v>
      </c>
      <c r="R38" s="132">
        <f>+'Split Debt Service'!J20</f>
        <v>658</v>
      </c>
      <c r="S38" s="132">
        <f>+'Split Debt Service'!K20</f>
        <v>580</v>
      </c>
      <c r="T38" s="132">
        <f>+'Split Debt Service'!L20</f>
        <v>581</v>
      </c>
      <c r="U38" s="132">
        <f>+'Split Debt Service'!M20</f>
        <v>540</v>
      </c>
      <c r="V38" s="132">
        <f>+'Split Debt Service'!N20</f>
        <v>499</v>
      </c>
      <c r="W38" s="132">
        <f>+'Split Debt Service'!O20</f>
        <v>457</v>
      </c>
      <c r="X38" s="132">
        <f>+'Split Debt Service'!P20</f>
        <v>414</v>
      </c>
      <c r="Y38" s="132">
        <f>+'Split Debt Service'!Q20</f>
        <v>369</v>
      </c>
      <c r="Z38" s="132">
        <f>+'Split Debt Service'!R20</f>
        <v>324</v>
      </c>
      <c r="AA38" s="132">
        <f>+'Split Debt Service'!S20</f>
        <v>277</v>
      </c>
      <c r="AB38" s="132">
        <f>+'Split Debt Service'!T20</f>
        <v>230</v>
      </c>
      <c r="AC38" s="132">
        <f>+'Split Debt Service'!U20</f>
        <v>181</v>
      </c>
      <c r="AD38" s="132">
        <f>+'Split Debt Service'!V20</f>
        <v>131</v>
      </c>
      <c r="AE38" s="132">
        <f>+'Split Debt Service'!W20</f>
        <v>79</v>
      </c>
      <c r="AF38" s="132">
        <f>+'Split Debt Service'!X20</f>
        <v>27</v>
      </c>
      <c r="AG38" s="132">
        <f>+'Split Debt Service'!Y20</f>
        <v>0</v>
      </c>
      <c r="AH38" s="132">
        <f>+'Split Debt Service'!Z20</f>
        <v>0</v>
      </c>
      <c r="AI38" s="132">
        <f>+'Split Debt Service'!AA20</f>
        <v>0</v>
      </c>
      <c r="AJ38" s="132">
        <f>+'Split Debt Service'!AB20</f>
        <v>0</v>
      </c>
      <c r="AK38" s="132">
        <f>+'Split Debt Service'!AC20</f>
        <v>0</v>
      </c>
      <c r="AL38" s="132">
        <f>+'Split Debt Service'!AD20</f>
        <v>0</v>
      </c>
      <c r="AM38" s="132">
        <f>+'Split Debt Service'!AE20</f>
        <v>0</v>
      </c>
      <c r="AN38" s="132">
        <f>+'Split Debt Service'!AF20</f>
        <v>0</v>
      </c>
      <c r="AO38" s="132">
        <f>+'Split Debt Service'!AG20</f>
        <v>0</v>
      </c>
      <c r="AP38" s="132">
        <f>+'Split Debt Service'!AH20</f>
        <v>0</v>
      </c>
      <c r="AQ38" s="132">
        <f>+'Split Debt Service'!AI20</f>
        <v>0</v>
      </c>
      <c r="AR38" s="132">
        <f>+'Split Debt Service'!AJ20</f>
        <v>0</v>
      </c>
    </row>
    <row r="39" spans="1:44" x14ac:dyDescent="0.2">
      <c r="A39" s="12">
        <v>5932</v>
      </c>
      <c r="B39" s="69" t="s">
        <v>38</v>
      </c>
      <c r="C39" s="39">
        <v>16873.62</v>
      </c>
      <c r="D39" s="14">
        <v>16873.62</v>
      </c>
      <c r="E39" s="14">
        <v>16636.099999999999</v>
      </c>
      <c r="F39" s="14">
        <v>16388.18</v>
      </c>
      <c r="G39" s="14">
        <v>16129.41</v>
      </c>
      <c r="H39" s="14">
        <v>15859.33</v>
      </c>
      <c r="I39" s="156">
        <v>15577.42</v>
      </c>
      <c r="J39" s="135">
        <v>15283</v>
      </c>
      <c r="K39" s="39">
        <v>15283.19</v>
      </c>
      <c r="L39" s="135">
        <f t="shared" si="3"/>
        <v>10765</v>
      </c>
      <c r="M39" s="40"/>
      <c r="N39" s="360"/>
      <c r="O39" s="132">
        <f>+'Split Debt Service'!G21</f>
        <v>10765</v>
      </c>
      <c r="P39" s="132">
        <f>+'Split Debt Service'!H21</f>
        <v>10103</v>
      </c>
      <c r="Q39" s="132">
        <f>+'Split Debt Service'!I21</f>
        <v>9703</v>
      </c>
      <c r="R39" s="132">
        <f>+'Split Debt Service'!J21</f>
        <v>9303</v>
      </c>
      <c r="S39" s="132">
        <f>+'Split Debt Service'!K21</f>
        <v>8803</v>
      </c>
      <c r="T39" s="132">
        <f>+'Split Debt Service'!L21</f>
        <v>8303</v>
      </c>
      <c r="U39" s="132">
        <f>+'Split Debt Service'!M21</f>
        <v>7803</v>
      </c>
      <c r="V39" s="132">
        <f>+'Split Debt Service'!N21</f>
        <v>7303</v>
      </c>
      <c r="W39" s="132">
        <f>+'Split Debt Service'!O21</f>
        <v>6703</v>
      </c>
      <c r="X39" s="132">
        <f>+'Split Debt Service'!P21</f>
        <v>6103</v>
      </c>
      <c r="Y39" s="132">
        <f>+'Split Debt Service'!Q21</f>
        <v>5503</v>
      </c>
      <c r="Z39" s="132">
        <f>+'Split Debt Service'!R21</f>
        <v>5223</v>
      </c>
      <c r="AA39" s="132">
        <f>+'Split Debt Service'!S21</f>
        <v>4943</v>
      </c>
      <c r="AB39" s="132">
        <f>+'Split Debt Service'!T21</f>
        <v>4663</v>
      </c>
      <c r="AC39" s="132">
        <f>+'Split Debt Service'!U21</f>
        <v>4365</v>
      </c>
      <c r="AD39" s="132">
        <f>+'Split Debt Service'!V21</f>
        <v>4068</v>
      </c>
      <c r="AE39" s="132">
        <f>+'Split Debt Service'!W21</f>
        <v>3753</v>
      </c>
      <c r="AF39" s="132">
        <f>+'Split Debt Service'!X21</f>
        <v>3420</v>
      </c>
      <c r="AG39" s="132">
        <f>+'Split Debt Service'!Y21</f>
        <v>3040</v>
      </c>
      <c r="AH39" s="132">
        <f>+'Split Debt Service'!Z21</f>
        <v>2660</v>
      </c>
      <c r="AI39" s="132">
        <f>+'Split Debt Service'!AA21</f>
        <v>2260</v>
      </c>
      <c r="AJ39" s="132">
        <f>+'Split Debt Service'!AB21</f>
        <v>1860</v>
      </c>
      <c r="AK39" s="132">
        <f>+'Split Debt Service'!AC21</f>
        <v>1440</v>
      </c>
      <c r="AL39" s="132">
        <f>+'Split Debt Service'!AD21</f>
        <v>968</v>
      </c>
      <c r="AM39" s="132">
        <f>+'Split Debt Service'!AE21</f>
        <v>495</v>
      </c>
      <c r="AN39" s="132">
        <f>+'Split Debt Service'!AF21</f>
        <v>0</v>
      </c>
      <c r="AO39" s="132">
        <f>+'Split Debt Service'!AG21</f>
        <v>0</v>
      </c>
      <c r="AP39" s="132">
        <f>+'Split Debt Service'!AH21</f>
        <v>0</v>
      </c>
      <c r="AQ39" s="132">
        <f>+'Split Debt Service'!AI21</f>
        <v>0</v>
      </c>
      <c r="AR39" s="132">
        <f>+'Split Debt Service'!AJ21</f>
        <v>0</v>
      </c>
    </row>
    <row r="40" spans="1:44" x14ac:dyDescent="0.2">
      <c r="A40" s="12">
        <v>5933</v>
      </c>
      <c r="B40" s="69" t="s">
        <v>341</v>
      </c>
      <c r="C40" s="39">
        <v>15807.2</v>
      </c>
      <c r="D40" s="14">
        <v>15608.47</v>
      </c>
      <c r="E40" s="14">
        <v>15401.74</v>
      </c>
      <c r="F40" s="14">
        <v>15186.5</v>
      </c>
      <c r="G40" s="14">
        <v>14962.36</v>
      </c>
      <c r="H40" s="14">
        <v>14728.98</v>
      </c>
      <c r="I40" s="156">
        <v>14485.98</v>
      </c>
      <c r="J40" s="135">
        <v>14233</v>
      </c>
      <c r="K40" s="39">
        <v>14232.95</v>
      </c>
      <c r="L40" s="135">
        <f t="shared" si="3"/>
        <v>13970</v>
      </c>
      <c r="M40" s="40"/>
      <c r="N40" s="360"/>
      <c r="O40" s="132">
        <f>+'Split Debt Service'!G22</f>
        <v>13970</v>
      </c>
      <c r="P40" s="132">
        <f>+'Split Debt Service'!H22</f>
        <v>13695</v>
      </c>
      <c r="Q40" s="132">
        <f>+'Split Debt Service'!I22</f>
        <v>13410</v>
      </c>
      <c r="R40" s="132">
        <f>+'Split Debt Service'!J22</f>
        <v>13112</v>
      </c>
      <c r="S40" s="132">
        <f>+'Split Debt Service'!K22</f>
        <v>12802</v>
      </c>
      <c r="T40" s="132">
        <f>+'Split Debt Service'!L22</f>
        <v>12480</v>
      </c>
      <c r="U40" s="132">
        <f>+'Split Debt Service'!M22</f>
        <v>12144</v>
      </c>
      <c r="V40" s="132">
        <f>+'Split Debt Service'!N22</f>
        <v>11795</v>
      </c>
      <c r="W40" s="132">
        <f>+'Split Debt Service'!O22</f>
        <v>11431</v>
      </c>
      <c r="X40" s="132">
        <f>+'Split Debt Service'!P22</f>
        <v>11052</v>
      </c>
      <c r="Y40" s="132">
        <f>+'Split Debt Service'!Q22</f>
        <v>10657</v>
      </c>
      <c r="Z40" s="132">
        <f>+'Split Debt Service'!R22</f>
        <v>10246</v>
      </c>
      <c r="AA40" s="132">
        <f>+'Split Debt Service'!S22</f>
        <v>9818</v>
      </c>
      <c r="AB40" s="132">
        <f>+'Split Debt Service'!T22</f>
        <v>9372</v>
      </c>
      <c r="AC40" s="132">
        <f>+'Split Debt Service'!U22</f>
        <v>8908</v>
      </c>
      <c r="AD40" s="132">
        <f>+'Split Debt Service'!V22</f>
        <v>8425</v>
      </c>
      <c r="AE40" s="132">
        <f>+'Split Debt Service'!W22</f>
        <v>7922</v>
      </c>
      <c r="AF40" s="132">
        <f>+'Split Debt Service'!X22</f>
        <v>7398</v>
      </c>
      <c r="AG40" s="132">
        <f>+'Split Debt Service'!Y22</f>
        <v>6853</v>
      </c>
      <c r="AH40" s="132">
        <f>+'Split Debt Service'!Z22</f>
        <v>6285</v>
      </c>
      <c r="AI40" s="132">
        <f>+'Split Debt Service'!AA22</f>
        <v>5694</v>
      </c>
      <c r="AJ40" s="132">
        <f>+'Split Debt Service'!AB22</f>
        <v>5078</v>
      </c>
      <c r="AK40" s="132">
        <f>+'Split Debt Service'!AC22</f>
        <v>4437</v>
      </c>
      <c r="AL40" s="132">
        <f>+'Split Debt Service'!AD22</f>
        <v>3769</v>
      </c>
      <c r="AM40" s="132">
        <f>+'Split Debt Service'!AE22</f>
        <v>3074</v>
      </c>
      <c r="AN40" s="132">
        <f>+'Split Debt Service'!AF22</f>
        <v>1150</v>
      </c>
      <c r="AO40" s="132">
        <f>+'Split Debt Service'!AG22</f>
        <v>1597</v>
      </c>
      <c r="AP40" s="132">
        <f>+'Split Debt Service'!AH22</f>
        <v>812</v>
      </c>
      <c r="AQ40" s="132">
        <f>+'Split Debt Service'!AI22</f>
        <v>0</v>
      </c>
      <c r="AR40" s="132">
        <f>+'Split Debt Service'!AJ22</f>
        <v>0</v>
      </c>
    </row>
    <row r="41" spans="1:44" x14ac:dyDescent="0.2">
      <c r="A41" s="12">
        <v>5934</v>
      </c>
      <c r="B41" s="13" t="s">
        <v>679</v>
      </c>
      <c r="C41" s="39">
        <v>2875</v>
      </c>
      <c r="D41" s="39">
        <v>2775</v>
      </c>
      <c r="E41" s="39">
        <v>2650</v>
      </c>
      <c r="F41" s="39">
        <v>2500</v>
      </c>
      <c r="G41" s="39">
        <v>2350</v>
      </c>
      <c r="H41" s="39">
        <v>2175</v>
      </c>
      <c r="I41" s="244">
        <v>1975</v>
      </c>
      <c r="J41" s="135">
        <v>1775</v>
      </c>
      <c r="K41" s="39">
        <v>937.5</v>
      </c>
      <c r="L41" s="135">
        <f t="shared" si="3"/>
        <v>1751</v>
      </c>
      <c r="M41" s="40"/>
      <c r="N41" s="2">
        <f>SUM(O41:V41)</f>
        <v>8177</v>
      </c>
      <c r="O41" s="40">
        <v>1751</v>
      </c>
      <c r="P41" s="40">
        <v>1530</v>
      </c>
      <c r="Q41" s="40">
        <v>1342</v>
      </c>
      <c r="R41" s="40">
        <v>1146</v>
      </c>
      <c r="S41" s="40">
        <v>939</v>
      </c>
      <c r="T41" s="40">
        <v>722</v>
      </c>
      <c r="U41" s="40">
        <v>493</v>
      </c>
      <c r="V41" s="40">
        <v>254</v>
      </c>
      <c r="W41" s="40"/>
      <c r="X41" s="40"/>
      <c r="Y41" s="40"/>
      <c r="Z41" s="40"/>
      <c r="AA41" s="40"/>
      <c r="AB41" s="40"/>
      <c r="AC41" s="40"/>
      <c r="AD41" s="40"/>
      <c r="AE41" s="40"/>
      <c r="AF41" s="40"/>
      <c r="AG41" s="40"/>
      <c r="AH41" s="40"/>
      <c r="AI41" s="40"/>
      <c r="AJ41" s="40"/>
      <c r="AK41" s="40"/>
      <c r="AL41" s="40"/>
      <c r="AM41" s="40"/>
      <c r="AN41" s="40"/>
      <c r="AO41" s="40"/>
      <c r="AP41" s="40"/>
      <c r="AQ41" s="40"/>
      <c r="AR41" s="40"/>
    </row>
    <row r="42" spans="1:44" x14ac:dyDescent="0.2">
      <c r="A42" s="12">
        <v>5936</v>
      </c>
      <c r="B42" s="31" t="s">
        <v>730</v>
      </c>
      <c r="C42" s="39"/>
      <c r="D42" s="39">
        <v>3173.22</v>
      </c>
      <c r="E42" s="39">
        <v>3046</v>
      </c>
      <c r="F42" s="39">
        <v>2915.59</v>
      </c>
      <c r="G42" s="39">
        <v>2781.92</v>
      </c>
      <c r="H42" s="39">
        <v>2644.89</v>
      </c>
      <c r="I42" s="244">
        <v>2504.46</v>
      </c>
      <c r="J42" s="135">
        <v>2361</v>
      </c>
      <c r="K42" s="39">
        <v>1204.8900000000001</v>
      </c>
      <c r="L42" s="135">
        <f t="shared" si="3"/>
        <v>2213</v>
      </c>
      <c r="M42" s="40"/>
      <c r="N42" s="267"/>
      <c r="O42" s="40">
        <v>2213</v>
      </c>
      <c r="P42" s="40">
        <v>2062</v>
      </c>
      <c r="Q42" s="40">
        <v>1907</v>
      </c>
      <c r="R42" s="40">
        <v>1748</v>
      </c>
      <c r="S42" s="40">
        <v>1585</v>
      </c>
      <c r="T42" s="40">
        <v>1419</v>
      </c>
      <c r="U42" s="40">
        <v>1247</v>
      </c>
      <c r="V42" s="40">
        <v>1072</v>
      </c>
      <c r="W42" s="40">
        <v>892</v>
      </c>
      <c r="X42" s="40">
        <v>708</v>
      </c>
      <c r="Y42" s="40">
        <v>519</v>
      </c>
      <c r="Z42" s="40">
        <v>326</v>
      </c>
      <c r="AA42" s="40">
        <v>127</v>
      </c>
      <c r="AB42" s="40"/>
      <c r="AC42" s="40"/>
      <c r="AD42" s="40"/>
      <c r="AE42" s="40"/>
      <c r="AF42" s="40"/>
      <c r="AG42" s="40"/>
      <c r="AH42" s="40"/>
      <c r="AI42" s="40"/>
      <c r="AJ42" s="40"/>
      <c r="AK42" s="40"/>
      <c r="AL42" s="40"/>
      <c r="AM42" s="40"/>
      <c r="AN42" s="40"/>
      <c r="AO42" s="40"/>
      <c r="AP42" s="40"/>
      <c r="AQ42" s="40"/>
      <c r="AR42" s="40"/>
    </row>
    <row r="43" spans="1:44" x14ac:dyDescent="0.2">
      <c r="A43" s="30">
        <v>5937</v>
      </c>
      <c r="B43" s="31" t="s">
        <v>931</v>
      </c>
      <c r="C43" s="39"/>
      <c r="D43" s="39"/>
      <c r="E43" s="39">
        <v>2860.82</v>
      </c>
      <c r="F43" s="39">
        <v>3275</v>
      </c>
      <c r="G43" s="39">
        <v>3125</v>
      </c>
      <c r="H43" s="39">
        <v>2975</v>
      </c>
      <c r="I43" s="39">
        <v>2825</v>
      </c>
      <c r="J43" s="40">
        <v>2675</v>
      </c>
      <c r="K43" s="39">
        <v>1337.5</v>
      </c>
      <c r="L43" s="135">
        <f t="shared" si="3"/>
        <v>2525</v>
      </c>
      <c r="M43" s="40"/>
      <c r="O43" s="40">
        <v>2525</v>
      </c>
      <c r="P43" s="40">
        <v>2375</v>
      </c>
      <c r="Q43" s="40">
        <v>2225</v>
      </c>
      <c r="R43" s="40">
        <v>2075</v>
      </c>
      <c r="S43" s="40">
        <v>1925</v>
      </c>
      <c r="T43" s="40">
        <v>1738</v>
      </c>
      <c r="U43" s="40">
        <v>1550</v>
      </c>
      <c r="V43" s="40">
        <v>1363</v>
      </c>
      <c r="W43" s="40">
        <v>1175</v>
      </c>
      <c r="X43" s="40">
        <v>988</v>
      </c>
      <c r="Y43" s="40">
        <v>800</v>
      </c>
      <c r="Z43" s="40">
        <v>600</v>
      </c>
      <c r="AA43" s="40">
        <v>400</v>
      </c>
      <c r="AB43" s="40">
        <v>200</v>
      </c>
      <c r="AC43" s="40"/>
      <c r="AD43" s="40"/>
      <c r="AE43" s="40"/>
      <c r="AF43" s="40"/>
      <c r="AG43" s="40"/>
      <c r="AH43" s="40"/>
      <c r="AI43" s="40"/>
      <c r="AJ43" s="40"/>
      <c r="AK43" s="40"/>
      <c r="AL43" s="40"/>
      <c r="AM43" s="40"/>
      <c r="AN43" s="40"/>
      <c r="AO43" s="40"/>
      <c r="AP43" s="40"/>
      <c r="AQ43" s="40"/>
      <c r="AR43" s="40"/>
    </row>
    <row r="44" spans="1:44" x14ac:dyDescent="0.2">
      <c r="A44" s="30">
        <v>5938</v>
      </c>
      <c r="B44" s="13" t="s">
        <v>760</v>
      </c>
      <c r="C44" s="39"/>
      <c r="D44" s="39"/>
      <c r="E44" s="39">
        <v>1290</v>
      </c>
      <c r="F44" s="39">
        <v>1290</v>
      </c>
      <c r="G44" s="39">
        <v>1075</v>
      </c>
      <c r="H44" s="39">
        <v>860</v>
      </c>
      <c r="I44" s="39">
        <v>645</v>
      </c>
      <c r="J44" s="40">
        <v>430</v>
      </c>
      <c r="K44" s="39"/>
      <c r="L44" s="135">
        <f t="shared" si="3"/>
        <v>215</v>
      </c>
      <c r="M44" s="40"/>
      <c r="O44" s="40">
        <v>215</v>
      </c>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row>
    <row r="45" spans="1:44" x14ac:dyDescent="0.2">
      <c r="A45" s="30">
        <v>5939</v>
      </c>
      <c r="B45" s="13" t="s">
        <v>761</v>
      </c>
      <c r="C45" s="39"/>
      <c r="D45" s="39"/>
      <c r="E45" s="39">
        <v>1692.5</v>
      </c>
      <c r="F45" s="39">
        <v>1290</v>
      </c>
      <c r="G45" s="39">
        <v>1075</v>
      </c>
      <c r="H45" s="39">
        <v>860</v>
      </c>
      <c r="I45" s="39">
        <v>645</v>
      </c>
      <c r="J45" s="40">
        <v>430</v>
      </c>
      <c r="K45" s="39"/>
      <c r="L45" s="135">
        <f t="shared" si="3"/>
        <v>215</v>
      </c>
      <c r="M45" s="40"/>
      <c r="O45" s="40">
        <v>215</v>
      </c>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row>
    <row r="46" spans="1:44" x14ac:dyDescent="0.2">
      <c r="A46" s="30">
        <v>5944</v>
      </c>
      <c r="B46" s="13" t="s">
        <v>1036</v>
      </c>
      <c r="C46" s="39"/>
      <c r="D46" s="39"/>
      <c r="E46" s="39"/>
      <c r="F46" s="39"/>
      <c r="G46" s="39"/>
      <c r="H46" s="39"/>
      <c r="I46" s="39">
        <v>0</v>
      </c>
      <c r="J46" s="40">
        <v>4200</v>
      </c>
      <c r="K46" s="39">
        <v>2687.5</v>
      </c>
      <c r="L46" s="135">
        <f t="shared" si="3"/>
        <v>2875</v>
      </c>
      <c r="M46" s="40"/>
      <c r="O46" s="40">
        <v>2875</v>
      </c>
      <c r="P46" s="40">
        <v>2575</v>
      </c>
      <c r="Q46" s="40">
        <v>2275</v>
      </c>
      <c r="R46" s="40">
        <v>1950</v>
      </c>
      <c r="S46" s="40">
        <v>1679</v>
      </c>
      <c r="T46" s="40">
        <v>1487</v>
      </c>
      <c r="U46" s="40">
        <v>1190</v>
      </c>
      <c r="V46" s="40">
        <v>870</v>
      </c>
      <c r="W46" s="40">
        <v>630</v>
      </c>
      <c r="X46" s="40">
        <v>390</v>
      </c>
      <c r="Y46" s="40">
        <v>135</v>
      </c>
      <c r="Z46" s="40"/>
      <c r="AA46" s="40"/>
      <c r="AB46" s="40"/>
      <c r="AC46" s="40"/>
      <c r="AD46" s="40"/>
      <c r="AE46" s="40"/>
      <c r="AF46" s="40"/>
      <c r="AG46" s="40"/>
      <c r="AH46" s="40"/>
      <c r="AI46" s="40"/>
      <c r="AJ46" s="40"/>
      <c r="AK46" s="40"/>
      <c r="AL46" s="40"/>
      <c r="AM46" s="40"/>
      <c r="AN46" s="40"/>
      <c r="AO46" s="40"/>
      <c r="AP46" s="40"/>
      <c r="AQ46" s="40"/>
      <c r="AR46" s="40"/>
    </row>
    <row r="47" spans="1:44" x14ac:dyDescent="0.2">
      <c r="A47" s="30">
        <v>5947</v>
      </c>
      <c r="B47" s="31" t="s">
        <v>1100</v>
      </c>
      <c r="C47" s="39"/>
      <c r="D47" s="39"/>
      <c r="E47" s="39"/>
      <c r="F47" s="39"/>
      <c r="G47" s="39"/>
      <c r="H47" s="39"/>
      <c r="I47" s="39"/>
      <c r="J47" s="40">
        <v>3594</v>
      </c>
      <c r="K47" s="39">
        <v>2308.33</v>
      </c>
      <c r="L47" s="135">
        <f t="shared" si="3"/>
        <v>2445</v>
      </c>
      <c r="M47" s="40"/>
      <c r="O47" s="40">
        <v>2445</v>
      </c>
      <c r="P47" s="40">
        <v>2195</v>
      </c>
      <c r="Q47" s="40">
        <v>1920</v>
      </c>
      <c r="R47" s="40">
        <v>1620</v>
      </c>
      <c r="S47" s="40">
        <v>1388</v>
      </c>
      <c r="T47" s="40">
        <v>1223</v>
      </c>
      <c r="U47" s="40">
        <v>990</v>
      </c>
      <c r="V47" s="40">
        <v>735</v>
      </c>
      <c r="W47" s="40">
        <v>525</v>
      </c>
      <c r="X47" s="40">
        <v>315</v>
      </c>
      <c r="Y47" s="40">
        <v>105</v>
      </c>
      <c r="Z47" s="40"/>
      <c r="AA47" s="40"/>
      <c r="AB47" s="40"/>
      <c r="AC47" s="40"/>
      <c r="AD47" s="40"/>
      <c r="AE47" s="40"/>
      <c r="AF47" s="40"/>
      <c r="AG47" s="40"/>
      <c r="AH47" s="40"/>
      <c r="AI47" s="40"/>
      <c r="AJ47" s="40"/>
      <c r="AK47" s="40"/>
      <c r="AL47" s="40"/>
      <c r="AM47" s="40"/>
      <c r="AN47" s="40"/>
      <c r="AO47" s="40"/>
      <c r="AP47" s="40"/>
      <c r="AQ47" s="40"/>
      <c r="AR47" s="40"/>
    </row>
    <row r="48" spans="1:44" x14ac:dyDescent="0.2">
      <c r="A48" s="30">
        <v>5948</v>
      </c>
      <c r="B48" s="31" t="s">
        <v>1293</v>
      </c>
      <c r="C48" s="39"/>
      <c r="D48" s="39"/>
      <c r="E48" s="39"/>
      <c r="F48" s="39"/>
      <c r="G48" s="39"/>
      <c r="H48" s="39"/>
      <c r="I48" s="39"/>
      <c r="J48" s="40">
        <v>26759</v>
      </c>
      <c r="K48" s="39">
        <v>16927.080000000002</v>
      </c>
      <c r="L48" s="135">
        <f t="shared" si="3"/>
        <v>19138</v>
      </c>
      <c r="M48" s="40"/>
      <c r="O48" s="40">
        <v>19138</v>
      </c>
      <c r="P48" s="40">
        <v>18063</v>
      </c>
      <c r="Q48" s="40">
        <v>16938</v>
      </c>
      <c r="R48" s="40">
        <v>15763</v>
      </c>
      <c r="S48" s="40">
        <v>14819</v>
      </c>
      <c r="T48" s="40">
        <v>14118</v>
      </c>
      <c r="U48" s="40">
        <v>13085</v>
      </c>
      <c r="V48" s="40">
        <v>11990</v>
      </c>
      <c r="W48" s="40">
        <v>11135</v>
      </c>
      <c r="X48" s="40">
        <v>10250</v>
      </c>
      <c r="Y48" s="40">
        <v>9350</v>
      </c>
      <c r="Z48" s="40">
        <v>8435</v>
      </c>
      <c r="AA48" s="40">
        <v>7490</v>
      </c>
      <c r="AB48" s="40">
        <v>6515</v>
      </c>
      <c r="AC48" s="40">
        <v>5489</v>
      </c>
      <c r="AD48" s="40">
        <v>4373</v>
      </c>
      <c r="AE48" s="40">
        <v>3187</v>
      </c>
      <c r="AF48" s="40">
        <v>1968</v>
      </c>
      <c r="AG48" s="40">
        <v>675</v>
      </c>
      <c r="AH48" s="40"/>
      <c r="AI48" s="40"/>
      <c r="AJ48" s="40"/>
      <c r="AK48" s="40"/>
      <c r="AL48" s="40"/>
      <c r="AM48" s="40"/>
      <c r="AN48" s="40"/>
      <c r="AO48" s="40"/>
      <c r="AP48" s="40"/>
      <c r="AQ48" s="40"/>
      <c r="AR48" s="40"/>
    </row>
    <row r="49" spans="1:44" x14ac:dyDescent="0.2">
      <c r="A49" s="30">
        <v>5949</v>
      </c>
      <c r="B49" s="31" t="s">
        <v>1276</v>
      </c>
      <c r="C49" s="39"/>
      <c r="D49" s="39"/>
      <c r="E49" s="39"/>
      <c r="F49" s="39"/>
      <c r="G49" s="39"/>
      <c r="H49" s="39"/>
      <c r="I49" s="39"/>
      <c r="J49" s="40">
        <v>115970</v>
      </c>
      <c r="K49" s="39">
        <v>73028.160000000003</v>
      </c>
      <c r="L49" s="135">
        <f t="shared" si="3"/>
        <v>84284</v>
      </c>
      <c r="M49" s="40"/>
      <c r="O49" s="40">
        <v>84284</v>
      </c>
      <c r="P49" s="40">
        <v>80884</v>
      </c>
      <c r="Q49" s="40">
        <v>77284</v>
      </c>
      <c r="R49" s="40">
        <v>73534</v>
      </c>
      <c r="S49" s="40">
        <v>70457</v>
      </c>
      <c r="T49" s="40">
        <v>68174</v>
      </c>
      <c r="U49" s="40">
        <v>64869</v>
      </c>
      <c r="V49" s="40">
        <v>61429</v>
      </c>
      <c r="W49" s="40">
        <v>58744</v>
      </c>
      <c r="X49" s="40">
        <v>55924</v>
      </c>
      <c r="Y49" s="40">
        <v>53044</v>
      </c>
      <c r="Z49" s="40">
        <v>50074</v>
      </c>
      <c r="AA49" s="40">
        <v>46999</v>
      </c>
      <c r="AB49" s="40">
        <v>43864</v>
      </c>
      <c r="AC49" s="40">
        <v>40602</v>
      </c>
      <c r="AD49" s="40">
        <v>37062</v>
      </c>
      <c r="AE49" s="40">
        <v>33340</v>
      </c>
      <c r="AF49" s="40">
        <v>29554</v>
      </c>
      <c r="AG49" s="40">
        <v>25561</v>
      </c>
      <c r="AH49" s="40">
        <v>21280</v>
      </c>
      <c r="AI49" s="40">
        <v>16818</v>
      </c>
      <c r="AJ49" s="40">
        <v>12215</v>
      </c>
      <c r="AK49" s="40">
        <v>7473</v>
      </c>
      <c r="AL49" s="40">
        <v>2538</v>
      </c>
      <c r="AM49" s="40"/>
      <c r="AN49" s="40"/>
      <c r="AO49" s="40"/>
      <c r="AP49" s="40"/>
      <c r="AQ49" s="40"/>
      <c r="AR49" s="40"/>
    </row>
    <row r="50" spans="1:44" x14ac:dyDescent="0.2">
      <c r="A50" s="30">
        <v>5950</v>
      </c>
      <c r="B50" s="31" t="s">
        <v>1392</v>
      </c>
      <c r="C50" s="39"/>
      <c r="D50" s="39"/>
      <c r="E50" s="39"/>
      <c r="F50" s="39"/>
      <c r="G50" s="39"/>
      <c r="H50" s="39"/>
      <c r="I50" s="39"/>
      <c r="J50" s="40"/>
      <c r="K50" s="39"/>
      <c r="L50" s="135">
        <f t="shared" si="3"/>
        <v>188107</v>
      </c>
      <c r="M50" s="40"/>
      <c r="N50" s="2"/>
      <c r="O50" s="40">
        <v>188107</v>
      </c>
      <c r="P50" s="40">
        <v>176769</v>
      </c>
      <c r="Q50" s="40">
        <v>169519</v>
      </c>
      <c r="R50" s="40">
        <v>161769</v>
      </c>
      <c r="S50" s="40">
        <v>153769</v>
      </c>
      <c r="T50" s="40">
        <v>145269</v>
      </c>
      <c r="U50" s="40">
        <v>136269</v>
      </c>
      <c r="V50" s="40">
        <v>126769</v>
      </c>
      <c r="W50" s="40">
        <v>116769</v>
      </c>
      <c r="X50" s="40">
        <v>106519</v>
      </c>
      <c r="Y50" s="40">
        <v>95519</v>
      </c>
      <c r="Z50" s="40">
        <v>90919</v>
      </c>
      <c r="AA50" s="40">
        <v>86219</v>
      </c>
      <c r="AB50" s="40">
        <v>81419</v>
      </c>
      <c r="AC50" s="40">
        <v>76213</v>
      </c>
      <c r="AD50" s="40">
        <v>70900</v>
      </c>
      <c r="AE50" s="40">
        <v>65163</v>
      </c>
      <c r="AF50" s="40">
        <v>58988</v>
      </c>
      <c r="AG50" s="40">
        <v>52694</v>
      </c>
      <c r="AH50" s="40">
        <v>46282</v>
      </c>
      <c r="AI50" s="40">
        <v>39282</v>
      </c>
      <c r="AJ50" s="40">
        <v>32157</v>
      </c>
      <c r="AK50" s="40">
        <v>24544</v>
      </c>
      <c r="AL50" s="40">
        <v>16669</v>
      </c>
      <c r="AM50" s="40">
        <v>8663</v>
      </c>
      <c r="AN50" s="40"/>
      <c r="AO50" s="40"/>
      <c r="AP50" s="40"/>
      <c r="AQ50" s="40"/>
      <c r="AR50" s="40"/>
    </row>
    <row r="51" spans="1:44" ht="13.5" thickBot="1" x14ac:dyDescent="0.25">
      <c r="A51" s="30"/>
      <c r="B51" s="31"/>
      <c r="C51" s="16"/>
      <c r="D51" s="16"/>
      <c r="E51" s="16"/>
      <c r="F51" s="16"/>
      <c r="G51" s="16"/>
      <c r="H51" s="16"/>
      <c r="I51" s="16"/>
      <c r="J51" s="17"/>
      <c r="K51" s="16"/>
      <c r="L51" s="17"/>
      <c r="M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x14ac:dyDescent="0.2">
      <c r="A52" s="12"/>
      <c r="B52" s="18" t="s">
        <v>224</v>
      </c>
      <c r="C52" s="19">
        <f t="shared" ref="C52:K52" si="4">SUM(C31:C51)</f>
        <v>266349.98</v>
      </c>
      <c r="D52" s="19">
        <f t="shared" si="4"/>
        <v>259362.63999999998</v>
      </c>
      <c r="E52" s="19">
        <f t="shared" si="4"/>
        <v>253585.74</v>
      </c>
      <c r="F52" s="19">
        <f>SUM(F32:F51)</f>
        <v>240542.22</v>
      </c>
      <c r="G52" s="19">
        <f>SUM(G32:G51)</f>
        <v>226585.27</v>
      </c>
      <c r="H52" s="19">
        <f>SUM(H32:H51)</f>
        <v>211686.38</v>
      </c>
      <c r="I52" s="19">
        <f t="shared" si="4"/>
        <v>196012.94000000003</v>
      </c>
      <c r="J52" s="20">
        <f>SUM(J31:J51)</f>
        <v>330498</v>
      </c>
      <c r="K52" s="19">
        <f t="shared" si="4"/>
        <v>211384.26</v>
      </c>
      <c r="L52" s="20">
        <f>SUM(L31:L51)</f>
        <v>467524</v>
      </c>
      <c r="M52" s="20">
        <f>SUM(M31:M51)</f>
        <v>0</v>
      </c>
      <c r="O52" s="20">
        <f t="shared" ref="O52:AR52" si="5">SUM(O31:O51)</f>
        <v>467524</v>
      </c>
      <c r="P52" s="20">
        <f t="shared" si="5"/>
        <v>432645</v>
      </c>
      <c r="Q52" s="20">
        <f t="shared" si="5"/>
        <v>404427</v>
      </c>
      <c r="R52" s="20">
        <f t="shared" si="5"/>
        <v>374917</v>
      </c>
      <c r="S52" s="20">
        <f t="shared" si="5"/>
        <v>345253</v>
      </c>
      <c r="T52" s="20">
        <f t="shared" si="5"/>
        <v>315525</v>
      </c>
      <c r="U52" s="20">
        <f t="shared" si="5"/>
        <v>283091</v>
      </c>
      <c r="V52" s="20">
        <f t="shared" si="5"/>
        <v>249355</v>
      </c>
      <c r="W52" s="20">
        <f t="shared" si="5"/>
        <v>215811</v>
      </c>
      <c r="X52" s="20">
        <f t="shared" si="5"/>
        <v>199316</v>
      </c>
      <c r="Y52" s="20">
        <f t="shared" si="5"/>
        <v>181940</v>
      </c>
      <c r="Z52" s="20">
        <f t="shared" si="5"/>
        <v>171355</v>
      </c>
      <c r="AA52" s="20">
        <f t="shared" si="5"/>
        <v>160731</v>
      </c>
      <c r="AB52" s="20">
        <f t="shared" si="5"/>
        <v>149954</v>
      </c>
      <c r="AC52" s="20">
        <f t="shared" si="5"/>
        <v>138662</v>
      </c>
      <c r="AD52" s="20">
        <f t="shared" si="5"/>
        <v>127058</v>
      </c>
      <c r="AE52" s="20">
        <f t="shared" si="5"/>
        <v>114718</v>
      </c>
      <c r="AF52" s="20">
        <f t="shared" si="5"/>
        <v>101783</v>
      </c>
      <c r="AG52" s="20">
        <f t="shared" si="5"/>
        <v>88823</v>
      </c>
      <c r="AH52" s="20">
        <f t="shared" si="5"/>
        <v>76507</v>
      </c>
      <c r="AI52" s="20">
        <f t="shared" si="5"/>
        <v>64054</v>
      </c>
      <c r="AJ52" s="20">
        <f t="shared" si="5"/>
        <v>51310</v>
      </c>
      <c r="AK52" s="20">
        <f t="shared" si="5"/>
        <v>37894</v>
      </c>
      <c r="AL52" s="20">
        <f t="shared" si="5"/>
        <v>23944</v>
      </c>
      <c r="AM52" s="20">
        <f t="shared" si="5"/>
        <v>12232</v>
      </c>
      <c r="AN52" s="20">
        <f t="shared" si="5"/>
        <v>1150</v>
      </c>
      <c r="AO52" s="20">
        <f t="shared" si="5"/>
        <v>1597</v>
      </c>
      <c r="AP52" s="20">
        <f t="shared" si="5"/>
        <v>812</v>
      </c>
      <c r="AQ52" s="20">
        <f t="shared" si="5"/>
        <v>0</v>
      </c>
      <c r="AR52" s="20">
        <f t="shared" si="5"/>
        <v>0</v>
      </c>
    </row>
    <row r="53" spans="1:44" x14ac:dyDescent="0.2">
      <c r="A53" s="12"/>
      <c r="B53" s="13"/>
      <c r="C53" s="14"/>
      <c r="D53" s="14"/>
      <c r="E53" s="14"/>
      <c r="F53" s="14"/>
      <c r="G53" s="14"/>
      <c r="H53" s="14"/>
      <c r="I53" s="14"/>
      <c r="J53" s="15"/>
      <c r="K53" s="14"/>
      <c r="L53" s="15"/>
      <c r="M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row>
    <row r="54" spans="1:44" hidden="1" x14ac:dyDescent="0.2">
      <c r="A54" s="12" t="s">
        <v>601</v>
      </c>
      <c r="B54" s="13" t="s">
        <v>35</v>
      </c>
      <c r="C54" s="39">
        <v>602.20000000000005</v>
      </c>
      <c r="D54" s="39">
        <v>547.45000000000005</v>
      </c>
      <c r="E54" s="39"/>
      <c r="F54" s="39"/>
      <c r="G54" s="39"/>
      <c r="H54" s="39"/>
      <c r="I54" s="244"/>
      <c r="J54" s="135"/>
      <c r="K54" s="39">
        <v>0</v>
      </c>
      <c r="L54" s="135"/>
      <c r="M54" s="135"/>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row>
    <row r="55" spans="1:44" x14ac:dyDescent="0.2">
      <c r="A55" s="12" t="s">
        <v>1207</v>
      </c>
      <c r="B55" s="13" t="s">
        <v>1206</v>
      </c>
      <c r="C55" s="39"/>
      <c r="D55" s="39"/>
      <c r="E55" s="39"/>
      <c r="F55" s="39"/>
      <c r="G55" s="39"/>
      <c r="H55" s="39"/>
      <c r="I55" s="244"/>
      <c r="J55" s="135">
        <v>60000</v>
      </c>
      <c r="K55" s="39"/>
      <c r="L55" s="135">
        <v>60000</v>
      </c>
      <c r="M55" s="135"/>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row>
    <row r="56" spans="1:44" ht="13.5" thickBot="1" x14ac:dyDescent="0.25">
      <c r="A56" s="12" t="s">
        <v>225</v>
      </c>
      <c r="B56" s="13" t="s">
        <v>226</v>
      </c>
      <c r="C56" s="39">
        <v>5065.4399999999996</v>
      </c>
      <c r="D56" s="39">
        <v>5388.35</v>
      </c>
      <c r="E56" s="39">
        <v>3399.08</v>
      </c>
      <c r="F56" s="39">
        <v>4461.7700000000004</v>
      </c>
      <c r="G56" s="39">
        <v>10940.62</v>
      </c>
      <c r="H56" s="39">
        <v>11476.39</v>
      </c>
      <c r="I56" s="244">
        <v>18676.84</v>
      </c>
      <c r="J56" s="135">
        <v>20000</v>
      </c>
      <c r="K56" s="39">
        <v>7586.3</v>
      </c>
      <c r="L56" s="135">
        <v>20000</v>
      </c>
      <c r="M56" s="135"/>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row>
    <row r="57" spans="1:44" x14ac:dyDescent="0.2">
      <c r="A57" s="12"/>
      <c r="B57" s="18" t="s">
        <v>227</v>
      </c>
      <c r="C57" s="34">
        <f t="shared" ref="C57:K57" si="6">SUM(C54:C56)</f>
        <v>5667.6399999999994</v>
      </c>
      <c r="D57" s="34">
        <f t="shared" si="6"/>
        <v>5935.8</v>
      </c>
      <c r="E57" s="34">
        <f t="shared" si="6"/>
        <v>3399.08</v>
      </c>
      <c r="F57" s="34">
        <f>SUM(F54:F56)</f>
        <v>4461.7700000000004</v>
      </c>
      <c r="G57" s="34">
        <f>SUM(G54:G56)</f>
        <v>10940.62</v>
      </c>
      <c r="H57" s="34">
        <f>SUM(H54:H56)</f>
        <v>11476.39</v>
      </c>
      <c r="I57" s="34">
        <f t="shared" si="6"/>
        <v>18676.84</v>
      </c>
      <c r="J57" s="202">
        <f t="shared" ref="J57" si="7">SUM(J54:J56)</f>
        <v>80000</v>
      </c>
      <c r="K57" s="34">
        <f t="shared" si="6"/>
        <v>7586.3</v>
      </c>
      <c r="L57" s="202">
        <f t="shared" ref="L57" si="8">SUM(L54:L56)</f>
        <v>80000</v>
      </c>
      <c r="M57" s="202">
        <f>SUM(M54:M56)</f>
        <v>0</v>
      </c>
      <c r="O57" s="202">
        <f t="shared" ref="O57:AR57" si="9">SUM(O54:O56)</f>
        <v>0</v>
      </c>
      <c r="P57" s="202">
        <f t="shared" si="9"/>
        <v>0</v>
      </c>
      <c r="Q57" s="202">
        <f t="shared" si="9"/>
        <v>0</v>
      </c>
      <c r="R57" s="202">
        <f t="shared" si="9"/>
        <v>0</v>
      </c>
      <c r="S57" s="202">
        <f t="shared" si="9"/>
        <v>0</v>
      </c>
      <c r="T57" s="202">
        <f t="shared" si="9"/>
        <v>0</v>
      </c>
      <c r="U57" s="202">
        <f t="shared" si="9"/>
        <v>0</v>
      </c>
      <c r="V57" s="202">
        <f t="shared" si="9"/>
        <v>0</v>
      </c>
      <c r="W57" s="202">
        <f t="shared" si="9"/>
        <v>0</v>
      </c>
      <c r="X57" s="202">
        <f t="shared" si="9"/>
        <v>0</v>
      </c>
      <c r="Y57" s="202">
        <f t="shared" si="9"/>
        <v>0</v>
      </c>
      <c r="Z57" s="202">
        <f t="shared" si="9"/>
        <v>0</v>
      </c>
      <c r="AA57" s="202">
        <f t="shared" si="9"/>
        <v>0</v>
      </c>
      <c r="AB57" s="202">
        <f t="shared" si="9"/>
        <v>0</v>
      </c>
      <c r="AC57" s="202">
        <f t="shared" si="9"/>
        <v>0</v>
      </c>
      <c r="AD57" s="202">
        <f t="shared" si="9"/>
        <v>0</v>
      </c>
      <c r="AE57" s="202">
        <f t="shared" si="9"/>
        <v>0</v>
      </c>
      <c r="AF57" s="202">
        <f t="shared" si="9"/>
        <v>0</v>
      </c>
      <c r="AG57" s="202">
        <f t="shared" si="9"/>
        <v>0</v>
      </c>
      <c r="AH57" s="202">
        <f t="shared" si="9"/>
        <v>0</v>
      </c>
      <c r="AI57" s="202">
        <f t="shared" si="9"/>
        <v>0</v>
      </c>
      <c r="AJ57" s="202">
        <f t="shared" si="9"/>
        <v>0</v>
      </c>
      <c r="AK57" s="202">
        <f t="shared" si="9"/>
        <v>0</v>
      </c>
      <c r="AL57" s="202">
        <f t="shared" si="9"/>
        <v>0</v>
      </c>
      <c r="AM57" s="202">
        <f t="shared" si="9"/>
        <v>0</v>
      </c>
      <c r="AN57" s="202">
        <f t="shared" si="9"/>
        <v>0</v>
      </c>
      <c r="AO57" s="202">
        <f t="shared" si="9"/>
        <v>0</v>
      </c>
      <c r="AP57" s="202">
        <f t="shared" si="9"/>
        <v>0</v>
      </c>
      <c r="AQ57" s="202">
        <f t="shared" si="9"/>
        <v>0</v>
      </c>
      <c r="AR57" s="202">
        <f t="shared" si="9"/>
        <v>0</v>
      </c>
    </row>
    <row r="58" spans="1:44" x14ac:dyDescent="0.2">
      <c r="A58" s="12"/>
      <c r="B58" s="13"/>
      <c r="C58" s="14"/>
      <c r="D58" s="14"/>
      <c r="E58" s="14"/>
      <c r="F58" s="14"/>
      <c r="G58" s="14"/>
      <c r="H58" s="14"/>
      <c r="I58" s="14"/>
      <c r="J58" s="15"/>
      <c r="K58" s="14"/>
      <c r="L58" s="15"/>
      <c r="M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row>
    <row r="59" spans="1:44" x14ac:dyDescent="0.2">
      <c r="A59" s="12"/>
      <c r="B59" s="13"/>
      <c r="C59" s="14"/>
      <c r="D59" s="14"/>
      <c r="E59" s="14"/>
      <c r="F59" s="14"/>
      <c r="G59" s="14"/>
      <c r="H59" s="14"/>
      <c r="I59" s="14"/>
      <c r="J59" s="15"/>
      <c r="K59" s="14"/>
      <c r="L59" s="15"/>
      <c r="M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row>
    <row r="60" spans="1:44" ht="13.5" thickBot="1" x14ac:dyDescent="0.25">
      <c r="A60" s="21"/>
      <c r="B60" s="22" t="s">
        <v>458</v>
      </c>
      <c r="C60" s="23">
        <f>+C57+C52+C29</f>
        <v>624059.19999999995</v>
      </c>
      <c r="D60" s="23">
        <f>+D29+D52+D57</f>
        <v>627106.03000000014</v>
      </c>
      <c r="E60" s="23">
        <f>+E29+E52+E57</f>
        <v>653275.82999999996</v>
      </c>
      <c r="F60" s="23">
        <f>+F57+F52+F29</f>
        <v>651031.29</v>
      </c>
      <c r="G60" s="23">
        <f>+G57+G52+G29</f>
        <v>655052.56000000006</v>
      </c>
      <c r="H60" s="23">
        <f>+H57+H52+H29</f>
        <v>630911.34</v>
      </c>
      <c r="I60" s="23">
        <f>+I29+I52+I57</f>
        <v>625348.28</v>
      </c>
      <c r="J60" s="24">
        <f>+J29+J52+J57</f>
        <v>888793</v>
      </c>
      <c r="K60" s="23">
        <f>+K57+K52+K29</f>
        <v>669288.71</v>
      </c>
      <c r="L60" s="24">
        <f>+L29+L52+L57</f>
        <v>1128500</v>
      </c>
      <c r="M60" s="24">
        <f>+L60</f>
        <v>1128500</v>
      </c>
      <c r="O60" s="24">
        <f t="shared" ref="O60:AR60" si="10">+O57+O52+O29</f>
        <v>1048500</v>
      </c>
      <c r="P60" s="24">
        <f t="shared" si="10"/>
        <v>1028709</v>
      </c>
      <c r="Q60" s="24">
        <f t="shared" si="10"/>
        <v>1023942</v>
      </c>
      <c r="R60" s="24">
        <f t="shared" si="10"/>
        <v>1025922</v>
      </c>
      <c r="S60" s="24">
        <f t="shared" si="10"/>
        <v>1027785</v>
      </c>
      <c r="T60" s="24">
        <f t="shared" si="10"/>
        <v>1027628</v>
      </c>
      <c r="U60" s="24">
        <f t="shared" si="10"/>
        <v>1025805</v>
      </c>
      <c r="V60" s="24">
        <f t="shared" si="10"/>
        <v>989216</v>
      </c>
      <c r="W60" s="24">
        <f t="shared" si="10"/>
        <v>619896</v>
      </c>
      <c r="X60" s="24">
        <f t="shared" si="10"/>
        <v>622661</v>
      </c>
      <c r="Y60" s="24">
        <f t="shared" si="10"/>
        <v>621583</v>
      </c>
      <c r="Z60" s="24">
        <f t="shared" si="10"/>
        <v>606334</v>
      </c>
      <c r="AA60" s="24">
        <f t="shared" si="10"/>
        <v>606085</v>
      </c>
      <c r="AB60" s="24">
        <f t="shared" si="10"/>
        <v>595386</v>
      </c>
      <c r="AC60" s="24">
        <f t="shared" si="10"/>
        <v>589344</v>
      </c>
      <c r="AD60" s="24">
        <f t="shared" si="10"/>
        <v>592029</v>
      </c>
      <c r="AE60" s="24">
        <f t="shared" si="10"/>
        <v>588017</v>
      </c>
      <c r="AF60" s="24">
        <f t="shared" si="10"/>
        <v>587451</v>
      </c>
      <c r="AG60" s="24">
        <f t="shared" si="10"/>
        <v>551590</v>
      </c>
      <c r="AH60" s="24">
        <f t="shared" si="10"/>
        <v>512842</v>
      </c>
      <c r="AI60" s="24">
        <f t="shared" si="10"/>
        <v>508981</v>
      </c>
      <c r="AJ60" s="24">
        <f t="shared" si="10"/>
        <v>506852</v>
      </c>
      <c r="AK60" s="24">
        <f t="shared" si="10"/>
        <v>509078</v>
      </c>
      <c r="AL60" s="24">
        <f t="shared" si="10"/>
        <v>508795</v>
      </c>
      <c r="AM60" s="24">
        <f t="shared" si="10"/>
        <v>362778</v>
      </c>
      <c r="AN60" s="24">
        <f t="shared" si="10"/>
        <v>19420</v>
      </c>
      <c r="AO60" s="24">
        <f t="shared" si="10"/>
        <v>20621</v>
      </c>
      <c r="AP60" s="24">
        <f t="shared" si="10"/>
        <v>20497</v>
      </c>
      <c r="AQ60" s="24">
        <f t="shared" si="10"/>
        <v>0</v>
      </c>
      <c r="AR60" s="24">
        <f t="shared" si="10"/>
        <v>0</v>
      </c>
    </row>
    <row r="61" spans="1:44" ht="13.5" thickTop="1" x14ac:dyDescent="0.2">
      <c r="A61" s="4"/>
      <c r="B61" s="4"/>
      <c r="C61" s="25"/>
      <c r="D61" s="25"/>
      <c r="E61" s="25"/>
      <c r="F61" s="25"/>
      <c r="G61" s="25"/>
      <c r="H61" s="25"/>
      <c r="I61" s="25"/>
      <c r="J61" s="25"/>
      <c r="K61" s="29"/>
      <c r="L61" s="25"/>
      <c r="M61" s="25"/>
      <c r="N61" s="29"/>
    </row>
    <row r="62" spans="1:44" x14ac:dyDescent="0.2">
      <c r="A62" s="196">
        <v>43788</v>
      </c>
      <c r="B62" s="4" t="s">
        <v>1485</v>
      </c>
      <c r="C62" s="25"/>
      <c r="D62" s="25"/>
      <c r="E62" s="25"/>
      <c r="F62" s="25"/>
      <c r="G62" s="25"/>
      <c r="H62" s="25"/>
      <c r="I62" s="25"/>
      <c r="J62" s="25"/>
      <c r="K62" s="29"/>
      <c r="L62" s="358">
        <f>+L60-J60</f>
        <v>239707</v>
      </c>
      <c r="M62" s="851">
        <f>ROUND((+L62/J60),4)</f>
        <v>0.2697</v>
      </c>
      <c r="N62" s="29"/>
    </row>
    <row r="63" spans="1:44" x14ac:dyDescent="0.2">
      <c r="A63" s="4"/>
      <c r="B63" s="4"/>
      <c r="C63" s="25"/>
      <c r="D63" s="25"/>
      <c r="E63" s="25"/>
      <c r="F63" s="25"/>
      <c r="G63" s="25"/>
      <c r="H63" s="25"/>
      <c r="I63" s="25"/>
      <c r="J63" s="25"/>
      <c r="K63" s="29"/>
      <c r="L63" s="25"/>
      <c r="M63" s="25"/>
      <c r="N63" s="29"/>
    </row>
    <row r="64" spans="1:44" x14ac:dyDescent="0.2">
      <c r="A64" s="4"/>
      <c r="B64" s="4"/>
      <c r="C64" s="25"/>
      <c r="D64" s="25"/>
      <c r="E64" s="25"/>
      <c r="F64" s="25"/>
      <c r="G64" s="25"/>
      <c r="H64" s="25"/>
      <c r="I64" s="25"/>
      <c r="J64" s="25" t="s">
        <v>1644</v>
      </c>
      <c r="K64" s="4"/>
      <c r="M64" s="25"/>
      <c r="N64" s="4"/>
    </row>
    <row r="65" spans="1:14" x14ac:dyDescent="0.2">
      <c r="A65" s="4"/>
      <c r="B65" s="4"/>
      <c r="C65" s="25"/>
      <c r="D65" s="25"/>
      <c r="E65" s="25"/>
      <c r="F65" s="25"/>
      <c r="G65" s="25"/>
      <c r="H65" s="25"/>
      <c r="I65" s="25"/>
      <c r="J65" s="25" t="s">
        <v>1645</v>
      </c>
      <c r="K65" s="4"/>
      <c r="L65" s="859">
        <f>+L60/(+'Working Budget with funding det'!L103-'Working Budget with funding det'!L92+'Working Budget with funding det'!L119)</f>
        <v>5.2766514921937201E-2</v>
      </c>
      <c r="M65" s="25"/>
      <c r="N65" s="4"/>
    </row>
    <row r="66" spans="1:14" x14ac:dyDescent="0.2">
      <c r="A66" s="4"/>
      <c r="B66" s="4"/>
      <c r="C66" s="25"/>
      <c r="D66" s="25"/>
      <c r="E66" s="25"/>
      <c r="F66" s="25"/>
      <c r="G66" s="25"/>
      <c r="H66" s="25"/>
      <c r="I66" s="25"/>
      <c r="J66" s="25" t="s">
        <v>1646</v>
      </c>
      <c r="K66" s="4"/>
      <c r="L66" s="860">
        <f>+L60/(+'Working Budget with funding det'!L103-L60)</f>
        <v>0.1200666643741399</v>
      </c>
      <c r="M66" s="25"/>
      <c r="N66" s="4"/>
    </row>
    <row r="67" spans="1:14" x14ac:dyDescent="0.2">
      <c r="A67" s="4"/>
      <c r="B67" s="4"/>
      <c r="C67" s="25"/>
      <c r="D67" s="25"/>
      <c r="E67" s="25"/>
      <c r="F67" s="25"/>
      <c r="G67" s="25"/>
      <c r="H67" s="25"/>
      <c r="I67" s="25"/>
      <c r="J67" s="25" t="s">
        <v>1647</v>
      </c>
      <c r="K67" s="4"/>
      <c r="L67" s="25"/>
      <c r="M67" s="25"/>
      <c r="N67" s="4"/>
    </row>
    <row r="68" spans="1:14" x14ac:dyDescent="0.2">
      <c r="A68" s="4"/>
      <c r="B68" s="4"/>
      <c r="C68" s="25"/>
      <c r="D68" s="25"/>
      <c r="E68" s="25"/>
      <c r="F68" s="25"/>
      <c r="G68" s="25"/>
      <c r="H68" s="25"/>
      <c r="I68" s="25"/>
      <c r="J68" s="25"/>
      <c r="K68" s="4"/>
      <c r="L68" s="25"/>
      <c r="M68" s="25"/>
      <c r="N68" s="4"/>
    </row>
    <row r="69" spans="1:14" x14ac:dyDescent="0.2">
      <c r="A69" s="4"/>
      <c r="B69" s="4"/>
      <c r="C69" s="25"/>
      <c r="D69" s="25"/>
      <c r="E69" s="25"/>
      <c r="F69" s="25"/>
      <c r="G69" s="25"/>
      <c r="H69" s="25"/>
      <c r="I69" s="25"/>
      <c r="J69" s="25"/>
      <c r="K69" s="4"/>
      <c r="L69" s="25"/>
      <c r="M69" s="25"/>
      <c r="N69" s="4"/>
    </row>
    <row r="70" spans="1:14" x14ac:dyDescent="0.2">
      <c r="A70" s="4"/>
      <c r="B70" s="4"/>
      <c r="C70" s="25"/>
      <c r="D70" s="25"/>
      <c r="E70" s="25"/>
      <c r="F70" s="25"/>
      <c r="G70" s="25"/>
      <c r="H70" s="25"/>
      <c r="I70" s="25"/>
      <c r="J70" s="25"/>
      <c r="K70" s="4"/>
      <c r="L70" s="25"/>
      <c r="M70" s="25"/>
      <c r="N70" s="4"/>
    </row>
    <row r="71" spans="1:14" x14ac:dyDescent="0.2">
      <c r="A71" s="4"/>
      <c r="B71" s="4"/>
      <c r="C71" s="25"/>
      <c r="D71" s="25"/>
      <c r="E71" s="25"/>
      <c r="F71" s="25"/>
      <c r="G71" s="25"/>
      <c r="H71" s="25"/>
      <c r="I71" s="25"/>
      <c r="J71" s="25"/>
      <c r="K71" s="4"/>
      <c r="L71" s="25"/>
      <c r="M71" s="25"/>
      <c r="N71" s="4"/>
    </row>
    <row r="72" spans="1:14" x14ac:dyDescent="0.2">
      <c r="A72" s="4"/>
      <c r="B72" s="4"/>
      <c r="C72" s="25"/>
      <c r="D72" s="25"/>
      <c r="E72" s="25"/>
      <c r="F72" s="25"/>
      <c r="G72" s="25"/>
      <c r="H72" s="25"/>
      <c r="I72" s="25"/>
      <c r="J72" s="25"/>
      <c r="K72" s="4"/>
      <c r="L72" s="25"/>
      <c r="M72" s="25"/>
      <c r="N72" s="4"/>
    </row>
    <row r="73" spans="1:14" x14ac:dyDescent="0.2">
      <c r="A73" s="4"/>
      <c r="B73" s="4"/>
      <c r="C73" s="25"/>
      <c r="D73" s="25"/>
      <c r="E73" s="25"/>
      <c r="F73" s="25"/>
      <c r="G73" s="25"/>
      <c r="H73" s="25"/>
      <c r="I73" s="25"/>
      <c r="J73" s="25"/>
      <c r="K73" s="4"/>
      <c r="L73" s="25"/>
      <c r="M73" s="25"/>
      <c r="N73" s="4"/>
    </row>
    <row r="74" spans="1:14" x14ac:dyDescent="0.2">
      <c r="A74" s="4"/>
      <c r="B74" s="4"/>
      <c r="C74" s="25"/>
      <c r="D74" s="25"/>
      <c r="E74" s="25"/>
      <c r="F74" s="25"/>
      <c r="G74" s="25"/>
      <c r="H74" s="25"/>
      <c r="I74" s="25"/>
      <c r="J74" s="25"/>
      <c r="K74" s="4"/>
      <c r="L74" s="25"/>
      <c r="M74" s="25"/>
      <c r="N74" s="4"/>
    </row>
    <row r="75" spans="1:14" x14ac:dyDescent="0.2">
      <c r="A75" s="4"/>
      <c r="B75" s="4"/>
      <c r="C75" s="25"/>
      <c r="D75" s="25"/>
      <c r="E75" s="25"/>
      <c r="F75" s="25"/>
      <c r="G75" s="25"/>
      <c r="H75" s="25"/>
      <c r="I75" s="25"/>
      <c r="J75" s="25"/>
      <c r="K75" s="4"/>
      <c r="L75" s="25"/>
      <c r="M75" s="25"/>
      <c r="N75" s="4"/>
    </row>
    <row r="76" spans="1:14" x14ac:dyDescent="0.2">
      <c r="A76" s="4"/>
      <c r="B76" s="4"/>
      <c r="C76" s="25"/>
      <c r="D76" s="25"/>
      <c r="E76" s="25"/>
      <c r="F76" s="25"/>
      <c r="G76" s="25"/>
      <c r="H76" s="25"/>
      <c r="I76" s="25"/>
      <c r="J76" s="25"/>
      <c r="K76" s="4"/>
      <c r="L76" s="25"/>
      <c r="M76" s="25"/>
      <c r="N76" s="4"/>
    </row>
    <row r="77" spans="1:14" x14ac:dyDescent="0.2">
      <c r="A77" s="4"/>
      <c r="B77" s="4"/>
      <c r="C77" s="25"/>
      <c r="D77" s="25"/>
      <c r="E77" s="25"/>
      <c r="F77" s="25"/>
      <c r="G77" s="25"/>
      <c r="H77" s="25"/>
      <c r="I77" s="25"/>
      <c r="J77" s="25"/>
      <c r="K77" s="4"/>
      <c r="L77" s="25"/>
      <c r="M77" s="25"/>
      <c r="N77" s="4"/>
    </row>
    <row r="78" spans="1:14" x14ac:dyDescent="0.2">
      <c r="A78" s="4"/>
      <c r="B78" s="4"/>
      <c r="C78" s="25"/>
      <c r="D78" s="25"/>
      <c r="E78" s="25"/>
      <c r="F78" s="25"/>
      <c r="G78" s="25"/>
      <c r="H78" s="25"/>
      <c r="I78" s="25"/>
      <c r="J78" s="25"/>
      <c r="K78" s="4"/>
      <c r="L78" s="25"/>
      <c r="M78" s="25"/>
      <c r="N78" s="4"/>
    </row>
    <row r="79" spans="1:14" x14ac:dyDescent="0.2">
      <c r="A79" s="4"/>
      <c r="B79" s="4"/>
      <c r="C79" s="25"/>
      <c r="D79" s="25"/>
      <c r="E79" s="25"/>
      <c r="F79" s="25"/>
      <c r="G79" s="25"/>
      <c r="H79" s="25"/>
      <c r="I79" s="25"/>
      <c r="J79" s="25"/>
      <c r="K79" s="4"/>
      <c r="L79" s="25"/>
      <c r="M79" s="25"/>
      <c r="N79" s="4"/>
    </row>
    <row r="80" spans="1:14" x14ac:dyDescent="0.2">
      <c r="A80" s="4"/>
      <c r="B80" s="4"/>
      <c r="C80" s="25"/>
      <c r="D80" s="25"/>
      <c r="E80" s="25"/>
      <c r="F80" s="25"/>
      <c r="G80" s="25"/>
      <c r="H80" s="25"/>
      <c r="I80" s="25"/>
      <c r="J80" s="25"/>
      <c r="K80" s="4"/>
      <c r="L80" s="25"/>
      <c r="M80" s="25"/>
      <c r="N80" s="4"/>
    </row>
    <row r="81" spans="1:14" x14ac:dyDescent="0.2">
      <c r="A81" s="4"/>
      <c r="B81" s="4"/>
      <c r="C81" s="25"/>
      <c r="D81" s="25"/>
      <c r="E81" s="25"/>
      <c r="F81" s="25"/>
      <c r="G81" s="25"/>
      <c r="H81" s="25"/>
      <c r="I81" s="25"/>
      <c r="J81" s="25"/>
      <c r="K81" s="4"/>
      <c r="L81" s="25"/>
      <c r="M81" s="25"/>
      <c r="N81" s="4"/>
    </row>
    <row r="82" spans="1:14" x14ac:dyDescent="0.2">
      <c r="A82" s="4"/>
      <c r="B82" s="4"/>
      <c r="C82" s="25"/>
      <c r="D82" s="25"/>
      <c r="E82" s="25"/>
      <c r="F82" s="25"/>
      <c r="G82" s="25"/>
      <c r="H82" s="25"/>
      <c r="I82" s="25"/>
      <c r="J82" s="25"/>
      <c r="K82" s="4"/>
      <c r="L82" s="25"/>
      <c r="M82" s="25"/>
      <c r="N82" s="4"/>
    </row>
    <row r="83" spans="1:14" x14ac:dyDescent="0.2">
      <c r="A83" s="4"/>
      <c r="B83" s="4"/>
      <c r="C83" s="25"/>
      <c r="D83" s="25"/>
      <c r="E83" s="25"/>
      <c r="F83" s="25"/>
      <c r="G83" s="25"/>
      <c r="H83" s="25"/>
      <c r="I83" s="25"/>
      <c r="J83" s="25"/>
      <c r="K83" s="4"/>
      <c r="L83" s="25"/>
      <c r="M83" s="25"/>
      <c r="N83" s="4"/>
    </row>
    <row r="84" spans="1:14" x14ac:dyDescent="0.2">
      <c r="A84" s="4"/>
      <c r="B84" s="4"/>
      <c r="C84" s="25"/>
      <c r="D84" s="25"/>
      <c r="E84" s="25"/>
      <c r="F84" s="25"/>
      <c r="G84" s="25"/>
      <c r="H84" s="25"/>
      <c r="I84" s="25"/>
      <c r="J84" s="25"/>
      <c r="K84" s="4"/>
      <c r="L84" s="25"/>
      <c r="M84" s="25"/>
      <c r="N84" s="4"/>
    </row>
    <row r="85" spans="1:14" x14ac:dyDescent="0.2">
      <c r="A85" s="4"/>
      <c r="B85" s="4"/>
      <c r="C85" s="25"/>
      <c r="D85" s="25"/>
      <c r="E85" s="25"/>
      <c r="F85" s="25"/>
      <c r="G85" s="25"/>
      <c r="H85" s="25"/>
      <c r="I85" s="25"/>
      <c r="J85" s="25"/>
      <c r="K85" s="4"/>
      <c r="L85" s="25"/>
      <c r="M85" s="25"/>
      <c r="N85" s="4"/>
    </row>
    <row r="86" spans="1:14" x14ac:dyDescent="0.2">
      <c r="A86" s="4"/>
      <c r="B86" s="4"/>
      <c r="C86" s="25"/>
      <c r="D86" s="25"/>
      <c r="E86" s="25"/>
      <c r="F86" s="25"/>
      <c r="G86" s="25"/>
      <c r="H86" s="25"/>
      <c r="I86" s="25"/>
      <c r="J86" s="25"/>
      <c r="K86" s="4"/>
      <c r="L86" s="25"/>
      <c r="M86" s="25"/>
      <c r="N86" s="4"/>
    </row>
    <row r="87" spans="1:14" x14ac:dyDescent="0.2">
      <c r="A87" s="4"/>
      <c r="B87" s="4"/>
      <c r="C87" s="25"/>
      <c r="D87" s="25"/>
      <c r="E87" s="25"/>
      <c r="F87" s="25"/>
      <c r="G87" s="25"/>
      <c r="H87" s="25"/>
      <c r="I87" s="25"/>
      <c r="J87" s="25"/>
      <c r="K87" s="4"/>
      <c r="L87" s="25"/>
      <c r="M87" s="25"/>
      <c r="N87" s="4"/>
    </row>
    <row r="88" spans="1:14" x14ac:dyDescent="0.2">
      <c r="A88" s="4"/>
      <c r="B88" s="4"/>
      <c r="C88" s="25"/>
      <c r="D88" s="25"/>
      <c r="E88" s="25"/>
      <c r="F88" s="25"/>
      <c r="G88" s="25"/>
      <c r="H88" s="25"/>
      <c r="I88" s="25"/>
      <c r="J88" s="25"/>
      <c r="K88" s="4"/>
      <c r="L88" s="25"/>
      <c r="M88" s="25"/>
      <c r="N88" s="4"/>
    </row>
    <row r="89" spans="1:14" x14ac:dyDescent="0.2">
      <c r="A89" s="4"/>
      <c r="B89" s="4"/>
      <c r="C89" s="25"/>
      <c r="D89" s="25"/>
      <c r="E89" s="25"/>
      <c r="F89" s="25"/>
      <c r="G89" s="25"/>
      <c r="H89" s="25"/>
      <c r="I89" s="25"/>
      <c r="J89" s="25"/>
      <c r="K89" s="4"/>
      <c r="L89" s="25"/>
      <c r="M89" s="25"/>
      <c r="N89" s="4"/>
    </row>
    <row r="90" spans="1:14" x14ac:dyDescent="0.2">
      <c r="A90" s="4"/>
      <c r="B90" s="4"/>
      <c r="C90" s="25"/>
      <c r="D90" s="25"/>
      <c r="E90" s="25"/>
      <c r="F90" s="25"/>
      <c r="G90" s="25"/>
      <c r="H90" s="25"/>
      <c r="I90" s="25"/>
      <c r="J90" s="25"/>
      <c r="K90" s="4"/>
      <c r="L90" s="25"/>
      <c r="M90" s="25"/>
      <c r="N90" s="4"/>
    </row>
    <row r="91" spans="1:14" x14ac:dyDescent="0.2">
      <c r="A91" s="4"/>
      <c r="B91" s="4"/>
      <c r="C91" s="25"/>
      <c r="D91" s="25"/>
      <c r="E91" s="25"/>
      <c r="F91" s="25"/>
      <c r="G91" s="25"/>
      <c r="H91" s="25"/>
      <c r="I91" s="25"/>
      <c r="J91" s="25"/>
      <c r="K91" s="4"/>
      <c r="L91" s="25"/>
      <c r="M91" s="25"/>
      <c r="N91" s="4"/>
    </row>
    <row r="92" spans="1:14" x14ac:dyDescent="0.2">
      <c r="A92" s="4"/>
      <c r="B92" s="4"/>
      <c r="C92" s="25"/>
      <c r="D92" s="25"/>
      <c r="E92" s="25"/>
      <c r="F92" s="25"/>
      <c r="G92" s="25"/>
      <c r="H92" s="25"/>
      <c r="I92" s="25"/>
      <c r="J92" s="25"/>
      <c r="K92" s="4"/>
      <c r="L92" s="25"/>
      <c r="M92" s="25"/>
      <c r="N92" s="4"/>
    </row>
    <row r="93" spans="1:14" x14ac:dyDescent="0.2">
      <c r="A93" s="4"/>
      <c r="B93" s="4"/>
      <c r="C93" s="25"/>
      <c r="D93" s="25"/>
      <c r="E93" s="25"/>
      <c r="F93" s="25"/>
      <c r="G93" s="25"/>
      <c r="H93" s="25"/>
      <c r="I93" s="25"/>
      <c r="J93" s="25"/>
      <c r="K93" s="4"/>
      <c r="L93" s="25"/>
      <c r="M93" s="25"/>
      <c r="N93" s="4"/>
    </row>
    <row r="94" spans="1:14" x14ac:dyDescent="0.2">
      <c r="A94" s="4"/>
      <c r="B94" s="4"/>
      <c r="C94" s="25"/>
      <c r="D94" s="25"/>
      <c r="E94" s="25"/>
      <c r="F94" s="25"/>
      <c r="G94" s="25"/>
      <c r="H94" s="25"/>
      <c r="I94" s="25"/>
      <c r="J94" s="25"/>
      <c r="K94" s="4"/>
      <c r="L94" s="25"/>
      <c r="M94" s="25"/>
      <c r="N94" s="4"/>
    </row>
    <row r="95" spans="1:14" x14ac:dyDescent="0.2">
      <c r="A95" s="4"/>
      <c r="B95" s="4"/>
      <c r="C95" s="25"/>
      <c r="D95" s="25"/>
      <c r="E95" s="25"/>
      <c r="F95" s="25"/>
      <c r="G95" s="25"/>
      <c r="H95" s="25"/>
      <c r="I95" s="25"/>
      <c r="J95" s="25"/>
      <c r="K95" s="4"/>
      <c r="L95" s="25"/>
      <c r="M95" s="25"/>
      <c r="N95" s="4"/>
    </row>
    <row r="96" spans="1:14" x14ac:dyDescent="0.2">
      <c r="A96" s="4"/>
      <c r="B96" s="4"/>
      <c r="C96" s="25"/>
      <c r="D96" s="25"/>
      <c r="E96" s="25"/>
      <c r="F96" s="25"/>
      <c r="G96" s="25"/>
      <c r="H96" s="25"/>
      <c r="I96" s="25"/>
      <c r="J96" s="25"/>
      <c r="K96" s="4"/>
      <c r="L96" s="25"/>
      <c r="M96" s="25"/>
      <c r="N96" s="4"/>
    </row>
    <row r="97" spans="1:14" x14ac:dyDescent="0.2">
      <c r="A97" s="4"/>
      <c r="B97" s="4"/>
      <c r="C97" s="25"/>
      <c r="D97" s="25"/>
      <c r="E97" s="25"/>
      <c r="F97" s="25"/>
      <c r="G97" s="25"/>
      <c r="H97" s="25"/>
      <c r="I97" s="25"/>
      <c r="J97" s="25"/>
      <c r="K97" s="4"/>
      <c r="L97" s="25"/>
      <c r="M97" s="25"/>
      <c r="N97" s="4"/>
    </row>
    <row r="98" spans="1:14" x14ac:dyDescent="0.2">
      <c r="A98" s="4"/>
      <c r="B98" s="4"/>
      <c r="C98" s="25"/>
      <c r="D98" s="25"/>
      <c r="E98" s="25"/>
      <c r="F98" s="25"/>
      <c r="G98" s="25"/>
      <c r="H98" s="25"/>
      <c r="I98" s="25"/>
      <c r="J98" s="25"/>
      <c r="K98" s="4"/>
      <c r="L98" s="25"/>
      <c r="M98" s="25"/>
      <c r="N98" s="4"/>
    </row>
    <row r="99" spans="1:14" x14ac:dyDescent="0.2">
      <c r="A99" s="4"/>
      <c r="B99" s="4"/>
      <c r="C99" s="25"/>
      <c r="D99" s="25"/>
      <c r="E99" s="25"/>
      <c r="F99" s="25"/>
      <c r="G99" s="25"/>
      <c r="H99" s="25"/>
      <c r="I99" s="25"/>
      <c r="J99" s="25"/>
      <c r="K99" s="4"/>
      <c r="L99" s="25"/>
      <c r="M99" s="25"/>
      <c r="N99" s="4"/>
    </row>
    <row r="100" spans="1:14" x14ac:dyDescent="0.2">
      <c r="A100" s="4"/>
      <c r="B100" s="4"/>
      <c r="C100" s="25"/>
      <c r="D100" s="25"/>
      <c r="E100" s="25"/>
      <c r="F100" s="25"/>
      <c r="G100" s="25"/>
      <c r="H100" s="25"/>
      <c r="I100" s="25"/>
      <c r="J100" s="25"/>
      <c r="K100" s="4"/>
      <c r="L100" s="25"/>
      <c r="M100" s="25"/>
      <c r="N100" s="4"/>
    </row>
    <row r="101" spans="1:14" x14ac:dyDescent="0.2">
      <c r="A101" s="4"/>
      <c r="B101" s="4"/>
      <c r="C101" s="25"/>
      <c r="D101" s="25"/>
      <c r="E101" s="25"/>
      <c r="F101" s="25"/>
      <c r="G101" s="25"/>
      <c r="H101" s="25"/>
      <c r="I101" s="25"/>
      <c r="J101" s="25"/>
      <c r="K101" s="4"/>
      <c r="L101" s="25"/>
      <c r="M101" s="25"/>
      <c r="N101" s="4"/>
    </row>
    <row r="102" spans="1:14" x14ac:dyDescent="0.2">
      <c r="C102" s="121"/>
    </row>
    <row r="103" spans="1:14" x14ac:dyDescent="0.2">
      <c r="C103" s="121"/>
    </row>
    <row r="104" spans="1:14" x14ac:dyDescent="0.2">
      <c r="C104" s="121"/>
    </row>
    <row r="105" spans="1:14" x14ac:dyDescent="0.2">
      <c r="C105" s="121"/>
    </row>
    <row r="106" spans="1:14" x14ac:dyDescent="0.2">
      <c r="C106" s="121"/>
    </row>
    <row r="107" spans="1:14" x14ac:dyDescent="0.2">
      <c r="C107" s="121"/>
    </row>
    <row r="108" spans="1:14" x14ac:dyDescent="0.2">
      <c r="C108" s="121"/>
    </row>
    <row r="109" spans="1:14" x14ac:dyDescent="0.2">
      <c r="C109" s="121"/>
    </row>
    <row r="110" spans="1:14" x14ac:dyDescent="0.2">
      <c r="C110" s="121"/>
    </row>
    <row r="111" spans="1:14" x14ac:dyDescent="0.2">
      <c r="C111" s="121"/>
    </row>
    <row r="112" spans="1:14"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row r="128" spans="3:3"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sheetData>
  <phoneticPr fontId="0" type="noConversion"/>
  <hyperlinks>
    <hyperlink ref="A1" location="'Working Budget with funding det'!A1" display="Main "/>
    <hyperlink ref="B1" location="'Table of Contents'!A1" display="TOC"/>
  </hyperlinks>
  <pageMargins left="0.7" right="0.7" top="0.75" bottom="0.75" header="0.3" footer="0.3"/>
  <pageSetup fitToHeight="0" orientation="landscape" horizontalDpi="300" verticalDpi="300" r:id="rId1"/>
  <headerFooter alignWithMargins="0">
    <oddFooter>&amp;L&amp;D     &amp;T&amp;C&amp;F&amp;R&amp;A</oddFooter>
  </headerFooter>
  <rowBreaks count="1" manualBreakCount="1">
    <brk id="30" max="11"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1"/>
  <sheetViews>
    <sheetView zoomScale="85" workbookViewId="0">
      <pane ySplit="7" topLeftCell="A8" activePane="bottomLeft" state="frozen"/>
      <selection activeCell="K15" sqref="K15"/>
      <selection pane="bottomLeft" activeCell="B19" sqref="B19"/>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261</v>
      </c>
      <c r="B2" s="49"/>
      <c r="E2" s="153"/>
      <c r="H2" s="153" t="s">
        <v>252</v>
      </c>
      <c r="I2" s="153"/>
      <c r="J2" s="153"/>
      <c r="K2" s="67" t="s">
        <v>364</v>
      </c>
      <c r="M2" s="50" t="s">
        <v>499</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20"/>
      <c r="J8" s="20"/>
      <c r="K8" s="19"/>
      <c r="L8" s="20"/>
      <c r="M8" s="20"/>
    </row>
    <row r="9" spans="1:16" x14ac:dyDescent="0.2">
      <c r="A9" s="12">
        <v>5664</v>
      </c>
      <c r="B9" s="69" t="s">
        <v>228</v>
      </c>
      <c r="C9" s="140">
        <v>51152</v>
      </c>
      <c r="D9" s="14">
        <v>54421</v>
      </c>
      <c r="E9" s="14">
        <v>35320</v>
      </c>
      <c r="F9" s="14">
        <v>51012</v>
      </c>
      <c r="G9" s="14">
        <v>52298</v>
      </c>
      <c r="H9" s="14">
        <v>53331</v>
      </c>
      <c r="I9" s="156">
        <v>53454</v>
      </c>
      <c r="J9" s="132">
        <v>55364</v>
      </c>
      <c r="K9" s="14">
        <v>41673</v>
      </c>
      <c r="L9" s="132">
        <v>55957</v>
      </c>
      <c r="M9" s="132"/>
      <c r="O9" s="208"/>
    </row>
    <row r="10" spans="1:16" x14ac:dyDescent="0.2">
      <c r="A10" s="12">
        <v>5665</v>
      </c>
      <c r="B10" s="69" t="s">
        <v>49</v>
      </c>
      <c r="C10" s="140">
        <v>3190.82</v>
      </c>
      <c r="D10" s="14">
        <v>3270.21</v>
      </c>
      <c r="E10" s="14">
        <v>3861.12</v>
      </c>
      <c r="F10" s="14">
        <v>4166.21</v>
      </c>
      <c r="G10" s="14">
        <v>4229.2299999999996</v>
      </c>
      <c r="H10" s="14">
        <v>6478.06</v>
      </c>
      <c r="I10" s="156">
        <v>6592.29</v>
      </c>
      <c r="J10" s="132">
        <v>6948</v>
      </c>
      <c r="K10" s="14">
        <v>6947.75</v>
      </c>
      <c r="L10" s="132">
        <v>7455</v>
      </c>
      <c r="M10" s="132"/>
      <c r="O10" s="208"/>
    </row>
    <row r="11" spans="1:16" x14ac:dyDescent="0.2">
      <c r="A11" s="12">
        <v>5666</v>
      </c>
      <c r="B11" s="69" t="s">
        <v>229</v>
      </c>
      <c r="C11" s="140">
        <v>17486</v>
      </c>
      <c r="D11" s="14">
        <v>19041</v>
      </c>
      <c r="E11" s="14">
        <v>21160</v>
      </c>
      <c r="F11" s="14">
        <v>23373</v>
      </c>
      <c r="G11" s="14">
        <v>24489</v>
      </c>
      <c r="H11" s="14">
        <v>25109</v>
      </c>
      <c r="I11" s="156">
        <v>26171</v>
      </c>
      <c r="J11" s="132">
        <v>27254</v>
      </c>
      <c r="K11" s="14">
        <v>20440.5</v>
      </c>
      <c r="L11" s="132">
        <v>30887</v>
      </c>
      <c r="M11" s="132"/>
      <c r="O11" s="208"/>
    </row>
    <row r="12" spans="1:16" x14ac:dyDescent="0.2">
      <c r="A12" s="12">
        <v>5667</v>
      </c>
      <c r="B12" s="69" t="s">
        <v>941</v>
      </c>
      <c r="C12" s="263"/>
      <c r="D12" s="39"/>
      <c r="E12" s="39"/>
      <c r="F12" s="39"/>
      <c r="G12" s="39"/>
      <c r="H12" s="39">
        <v>150</v>
      </c>
      <c r="I12" s="156">
        <v>150</v>
      </c>
      <c r="J12" s="132">
        <v>150</v>
      </c>
      <c r="K12" s="39"/>
      <c r="L12" s="132">
        <v>150</v>
      </c>
      <c r="M12" s="135"/>
      <c r="O12" s="208"/>
    </row>
    <row r="13" spans="1:16" ht="13.5" thickBot="1" x14ac:dyDescent="0.25">
      <c r="A13" s="12">
        <v>5670</v>
      </c>
      <c r="B13" s="69" t="s">
        <v>230</v>
      </c>
      <c r="C13" s="141">
        <v>11246</v>
      </c>
      <c r="D13" s="16">
        <v>11142</v>
      </c>
      <c r="E13" s="16">
        <v>11597</v>
      </c>
      <c r="F13" s="16">
        <v>15707</v>
      </c>
      <c r="G13" s="16">
        <v>11479.07</v>
      </c>
      <c r="H13" s="16">
        <v>14183.83</v>
      </c>
      <c r="I13" s="349">
        <v>14457.07</v>
      </c>
      <c r="J13" s="133">
        <v>14892</v>
      </c>
      <c r="K13" s="16">
        <v>14985.69</v>
      </c>
      <c r="L13" s="133">
        <v>16730</v>
      </c>
      <c r="M13" s="133"/>
      <c r="O13" s="661"/>
    </row>
    <row r="14" spans="1:16" x14ac:dyDescent="0.2">
      <c r="A14" s="12"/>
      <c r="B14" s="69"/>
      <c r="C14" s="142"/>
      <c r="D14" s="19"/>
      <c r="E14" s="19"/>
      <c r="F14" s="19"/>
      <c r="G14" s="19"/>
      <c r="H14" s="19"/>
      <c r="I14" s="19"/>
      <c r="J14" s="20"/>
      <c r="K14" s="19"/>
      <c r="L14" s="20"/>
      <c r="M14" s="20"/>
      <c r="O14" s="101"/>
    </row>
    <row r="15" spans="1:16" ht="13.5" thickBot="1" x14ac:dyDescent="0.25">
      <c r="A15" s="21"/>
      <c r="B15" s="825" t="s">
        <v>231</v>
      </c>
      <c r="C15" s="816">
        <f>SUM(C9:C14)</f>
        <v>83074.820000000007</v>
      </c>
      <c r="D15" s="23">
        <f>SUM(D9:D14)</f>
        <v>87874.209999999992</v>
      </c>
      <c r="E15" s="23">
        <f>SUM(E9:E14)</f>
        <v>71938.12</v>
      </c>
      <c r="F15" s="23">
        <f>SUM(F9:F13)</f>
        <v>94258.209999999992</v>
      </c>
      <c r="G15" s="23">
        <f>SUM(G9:G13)</f>
        <v>92495.299999999988</v>
      </c>
      <c r="H15" s="23">
        <f>SUM(H9:H13)</f>
        <v>99251.89</v>
      </c>
      <c r="I15" s="23">
        <f>SUM(I9:I14)</f>
        <v>100824.36000000002</v>
      </c>
      <c r="J15" s="43">
        <f>SUM(J9:J14)</f>
        <v>104608</v>
      </c>
      <c r="K15" s="23">
        <f>SUM(K9:K13)</f>
        <v>84046.94</v>
      </c>
      <c r="L15" s="43">
        <f>SUM(L9:L14)</f>
        <v>111179</v>
      </c>
      <c r="M15" s="43">
        <f>+L15</f>
        <v>111179</v>
      </c>
    </row>
    <row r="16" spans="1:16" ht="13.5" thickTop="1" x14ac:dyDescent="0.2">
      <c r="A16" s="4"/>
      <c r="B16" s="826"/>
      <c r="C16" s="25"/>
      <c r="D16" s="25"/>
      <c r="E16" s="25"/>
      <c r="F16" s="25"/>
      <c r="G16" s="25"/>
      <c r="H16" s="25"/>
      <c r="I16" s="25"/>
      <c r="J16" s="25"/>
      <c r="K16" s="29"/>
      <c r="L16" s="25"/>
      <c r="M16" s="25"/>
      <c r="N16" s="29"/>
      <c r="O16" s="29"/>
      <c r="P16" s="29"/>
    </row>
    <row r="17" spans="1:16" x14ac:dyDescent="0.2">
      <c r="A17" s="72">
        <v>43754</v>
      </c>
      <c r="B17" s="826" t="s">
        <v>1393</v>
      </c>
      <c r="C17" s="25"/>
      <c r="D17" s="25"/>
      <c r="E17" s="25"/>
      <c r="F17" s="25"/>
      <c r="G17" s="25"/>
      <c r="H17" s="25"/>
      <c r="I17" s="25"/>
      <c r="J17" s="25"/>
      <c r="K17" s="29"/>
      <c r="L17" s="25"/>
      <c r="M17" s="25"/>
      <c r="N17" s="29"/>
      <c r="O17" s="29"/>
      <c r="P17" s="29"/>
    </row>
    <row r="18" spans="1:16" x14ac:dyDescent="0.2">
      <c r="A18" s="72">
        <v>43867</v>
      </c>
      <c r="B18" s="826" t="s">
        <v>1628</v>
      </c>
      <c r="C18" s="25"/>
      <c r="D18" s="25"/>
      <c r="E18" s="25"/>
      <c r="F18" s="25"/>
      <c r="G18" s="25"/>
      <c r="H18" s="25"/>
      <c r="I18" s="25"/>
      <c r="J18" s="25"/>
      <c r="K18" s="29"/>
      <c r="L18" s="25"/>
      <c r="M18" s="25"/>
      <c r="N18" s="29"/>
      <c r="O18" s="29"/>
      <c r="P18" s="29"/>
    </row>
    <row r="19" spans="1:16" x14ac:dyDescent="0.2">
      <c r="A19" s="72"/>
      <c r="B19" s="4"/>
      <c r="C19" s="25"/>
      <c r="D19" s="25"/>
      <c r="E19" s="25"/>
      <c r="F19" s="25"/>
      <c r="G19" s="25"/>
      <c r="H19" s="25"/>
      <c r="I19" s="25"/>
      <c r="J19" s="25"/>
      <c r="K19" s="29"/>
      <c r="L19" s="25"/>
      <c r="M19" s="25"/>
      <c r="N19" s="29"/>
      <c r="O19" s="29"/>
      <c r="P19" s="29"/>
    </row>
    <row r="20" spans="1:16" x14ac:dyDescent="0.2">
      <c r="A20" s="72"/>
      <c r="B20" s="4"/>
      <c r="C20" s="25"/>
      <c r="D20" s="25"/>
      <c r="E20" s="25"/>
      <c r="F20" s="25"/>
      <c r="G20" s="25"/>
      <c r="H20" s="25"/>
      <c r="I20" s="25"/>
      <c r="J20" s="25"/>
      <c r="K20" s="29"/>
      <c r="L20" s="25"/>
      <c r="M20" s="25"/>
      <c r="N20" s="29"/>
      <c r="O20" s="29"/>
      <c r="P20" s="29"/>
    </row>
    <row r="21" spans="1:16" ht="13.5" thickBot="1" x14ac:dyDescent="0.25">
      <c r="A21" s="196"/>
      <c r="B21" s="28"/>
      <c r="C21" s="26"/>
      <c r="D21" s="26"/>
      <c r="E21" s="26"/>
      <c r="F21" s="26"/>
      <c r="G21" s="26"/>
      <c r="H21" s="26"/>
      <c r="I21" s="26"/>
      <c r="J21" s="26"/>
      <c r="K21" s="27"/>
      <c r="L21" s="26"/>
      <c r="M21" s="29"/>
      <c r="N21" s="27"/>
      <c r="O21" s="27"/>
      <c r="P21" s="27"/>
    </row>
    <row r="22" spans="1:16" ht="13.5" thickTop="1" x14ac:dyDescent="0.2">
      <c r="A22" s="517"/>
      <c r="B22" s="518"/>
      <c r="C22" s="519" t="s">
        <v>122</v>
      </c>
      <c r="D22" s="520" t="s">
        <v>122</v>
      </c>
      <c r="E22" s="519" t="s">
        <v>122</v>
      </c>
      <c r="H22" s="521" t="s">
        <v>542</v>
      </c>
      <c r="I22" s="522" t="s">
        <v>9</v>
      </c>
      <c r="J22" s="523" t="s">
        <v>1073</v>
      </c>
      <c r="K22" s="522" t="s">
        <v>682</v>
      </c>
      <c r="L22" s="524"/>
      <c r="M22" s="523"/>
      <c r="N22" s="208"/>
      <c r="O22" s="27"/>
      <c r="P22" s="27"/>
    </row>
    <row r="23" spans="1:16" ht="13.5" thickBot="1" x14ac:dyDescent="0.25">
      <c r="A23" s="525"/>
      <c r="B23" s="526"/>
      <c r="C23" s="580" t="s">
        <v>334</v>
      </c>
      <c r="D23" s="580" t="s">
        <v>718</v>
      </c>
      <c r="E23" s="529" t="s">
        <v>734</v>
      </c>
      <c r="H23" s="529" t="s">
        <v>899</v>
      </c>
      <c r="I23" s="529" t="s">
        <v>900</v>
      </c>
      <c r="J23" s="528" t="s">
        <v>1075</v>
      </c>
      <c r="K23" s="530" t="s">
        <v>1075</v>
      </c>
      <c r="L23" s="531" t="s">
        <v>1074</v>
      </c>
      <c r="M23" s="529"/>
      <c r="N23" s="27"/>
      <c r="O23" s="27"/>
      <c r="P23" s="27"/>
    </row>
    <row r="24" spans="1:16" ht="13.5" thickTop="1" x14ac:dyDescent="0.2">
      <c r="A24" s="548"/>
      <c r="B24" s="549"/>
      <c r="C24" s="536"/>
      <c r="D24" s="536"/>
      <c r="E24" s="536"/>
      <c r="H24" s="536"/>
      <c r="I24" s="536"/>
      <c r="J24" s="537"/>
      <c r="K24" s="536"/>
      <c r="L24" s="582"/>
      <c r="M24" s="583"/>
      <c r="N24" s="27"/>
      <c r="O24" s="27"/>
      <c r="P24" s="27"/>
    </row>
    <row r="25" spans="1:16" x14ac:dyDescent="0.2">
      <c r="A25" s="551">
        <v>5664</v>
      </c>
      <c r="B25" s="540" t="s">
        <v>228</v>
      </c>
      <c r="C25" s="544">
        <v>51152</v>
      </c>
      <c r="D25" s="544">
        <v>54421</v>
      </c>
      <c r="E25" s="544">
        <v>35320</v>
      </c>
      <c r="H25" s="543">
        <f>+I9</f>
        <v>53454</v>
      </c>
      <c r="I25" s="569">
        <f>+L9</f>
        <v>55957</v>
      </c>
      <c r="J25" s="572">
        <f>+I25-H25</f>
        <v>2503</v>
      </c>
      <c r="K25" s="545">
        <f>IF(H25+I25&lt;&gt;0,IF(H25&lt;&gt;0,IF(J25&lt;&gt;0,ROUND((+J25/H25),4),""),1),"")</f>
        <v>4.6800000000000001E-2</v>
      </c>
      <c r="L25" s="538" t="s">
        <v>1587</v>
      </c>
      <c r="M25" s="539"/>
      <c r="N25" s="27"/>
      <c r="O25" s="27"/>
      <c r="P25" s="27"/>
    </row>
    <row r="26" spans="1:16" x14ac:dyDescent="0.2">
      <c r="A26" s="551">
        <v>5665</v>
      </c>
      <c r="B26" s="540" t="s">
        <v>49</v>
      </c>
      <c r="C26" s="544">
        <v>3190.82</v>
      </c>
      <c r="D26" s="544">
        <v>3270.21</v>
      </c>
      <c r="E26" s="544">
        <v>3861.12</v>
      </c>
      <c r="H26" s="543">
        <f>+I10</f>
        <v>6592.29</v>
      </c>
      <c r="I26" s="569">
        <f>+L10</f>
        <v>7455</v>
      </c>
      <c r="J26" s="572">
        <f>+I26-H26</f>
        <v>862.71</v>
      </c>
      <c r="K26" s="545">
        <f>IF(H26+I26&lt;&gt;0,IF(H26&lt;&gt;0,IF(J26&lt;&gt;0,ROUND((+J26/H26),4),""),1),"")</f>
        <v>0.13089999999999999</v>
      </c>
      <c r="L26" s="538" t="s">
        <v>1588</v>
      </c>
      <c r="M26" s="539"/>
      <c r="N26" s="27"/>
      <c r="O26" s="27"/>
      <c r="P26" s="27"/>
    </row>
    <row r="27" spans="1:16" x14ac:dyDescent="0.2">
      <c r="A27" s="551">
        <v>5666</v>
      </c>
      <c r="B27" s="540" t="s">
        <v>229</v>
      </c>
      <c r="C27" s="544">
        <v>17486</v>
      </c>
      <c r="D27" s="544">
        <v>19041</v>
      </c>
      <c r="E27" s="544">
        <v>21160</v>
      </c>
      <c r="H27" s="543">
        <f>+I11</f>
        <v>26171</v>
      </c>
      <c r="I27" s="569">
        <f>+L11</f>
        <v>30887</v>
      </c>
      <c r="J27" s="572">
        <f>+I27-H27</f>
        <v>4716</v>
      </c>
      <c r="K27" s="545">
        <f>IF(H27+I27&lt;&gt;0,IF(H27&lt;&gt;0,IF(J27&lt;&gt;0,ROUND((+J27/H27),4),""),1),"")</f>
        <v>0.1802</v>
      </c>
      <c r="L27" s="538" t="s">
        <v>1589</v>
      </c>
      <c r="M27" s="539"/>
      <c r="N27" s="29"/>
      <c r="O27" s="29"/>
      <c r="P27" s="29"/>
    </row>
    <row r="28" spans="1:16" x14ac:dyDescent="0.2">
      <c r="A28" s="551">
        <v>5667</v>
      </c>
      <c r="B28" s="540" t="s">
        <v>941</v>
      </c>
      <c r="C28" s="546"/>
      <c r="D28" s="546"/>
      <c r="E28" s="546"/>
      <c r="H28" s="543">
        <f>+I12</f>
        <v>150</v>
      </c>
      <c r="I28" s="569">
        <f>+L12</f>
        <v>150</v>
      </c>
      <c r="J28" s="572">
        <f>+I28-H28</f>
        <v>0</v>
      </c>
      <c r="K28" s="545" t="str">
        <f>IF(H28+I28&lt;&gt;0,IF(H28&lt;&gt;0,IF(J28&lt;&gt;0,ROUND((+J28/H28),4),""),1),"")</f>
        <v/>
      </c>
      <c r="L28" s="584"/>
      <c r="M28" s="585"/>
      <c r="N28" s="29"/>
      <c r="O28" s="29"/>
      <c r="P28" s="29"/>
    </row>
    <row r="29" spans="1:16" ht="13.5" thickBot="1" x14ac:dyDescent="0.25">
      <c r="A29" s="551">
        <v>5670</v>
      </c>
      <c r="B29" s="540" t="s">
        <v>230</v>
      </c>
      <c r="C29" s="542">
        <v>11246</v>
      </c>
      <c r="D29" s="542">
        <v>11142</v>
      </c>
      <c r="E29" s="542">
        <v>11597</v>
      </c>
      <c r="H29" s="543">
        <f>+I13</f>
        <v>14457.07</v>
      </c>
      <c r="I29" s="569">
        <f>+L13</f>
        <v>16730</v>
      </c>
      <c r="J29" s="572">
        <f>+I29-H29</f>
        <v>2272.9300000000003</v>
      </c>
      <c r="K29" s="545">
        <f>IF(H29+I29&lt;&gt;0,IF(H29&lt;&gt;0,IF(J29&lt;&gt;0,ROUND((+J29/H29),4),""),1),"")</f>
        <v>0.15720000000000001</v>
      </c>
      <c r="L29" s="538" t="s">
        <v>1590</v>
      </c>
      <c r="M29" s="578"/>
      <c r="N29" s="29"/>
      <c r="O29" s="29"/>
      <c r="P29" s="29"/>
    </row>
    <row r="30" spans="1:16" x14ac:dyDescent="0.2">
      <c r="A30" s="4"/>
      <c r="B30" s="4"/>
      <c r="C30" s="25"/>
      <c r="D30" s="25"/>
      <c r="E30" s="25"/>
      <c r="F30" s="25"/>
      <c r="G30" s="25"/>
      <c r="H30" s="25"/>
      <c r="I30" s="25"/>
      <c r="J30" s="25"/>
      <c r="K30" s="29"/>
      <c r="L30" s="25"/>
      <c r="M30" s="25"/>
      <c r="N30" s="29"/>
      <c r="O30" s="29"/>
      <c r="P30" s="29"/>
    </row>
    <row r="31" spans="1:16" x14ac:dyDescent="0.2">
      <c r="A31" s="4"/>
      <c r="B31" s="4" t="s">
        <v>1600</v>
      </c>
      <c r="C31" s="25"/>
      <c r="D31" s="25"/>
      <c r="E31" s="25"/>
      <c r="F31" s="25"/>
      <c r="G31" s="25"/>
      <c r="H31" s="849">
        <f>SUM(H25:H30)</f>
        <v>100824.36000000002</v>
      </c>
      <c r="I31" s="849">
        <f>SUM(I25:I30)</f>
        <v>111179</v>
      </c>
      <c r="J31" s="208">
        <f t="shared" ref="J31" si="0">+I31-H31</f>
        <v>10354.639999999985</v>
      </c>
      <c r="K31" s="850">
        <f t="shared" ref="K31" si="1">IF(H31+I31&lt;&gt;0,IF(H31&lt;&gt;0,IF(J31&lt;&gt;0,ROUND((+J31/H31),4),""),1),"")</f>
        <v>0.1027</v>
      </c>
      <c r="L31" s="25"/>
      <c r="M31" s="25"/>
      <c r="N31" s="29"/>
      <c r="O31" s="29"/>
      <c r="P31" s="29"/>
    </row>
    <row r="32" spans="1:16" x14ac:dyDescent="0.2">
      <c r="A32" s="72">
        <v>43061</v>
      </c>
      <c r="B32" s="4" t="s">
        <v>1087</v>
      </c>
      <c r="C32" s="25"/>
      <c r="D32" s="25"/>
      <c r="E32" s="25"/>
      <c r="F32" s="25"/>
      <c r="G32" s="25"/>
      <c r="H32" s="25"/>
      <c r="I32" s="25"/>
      <c r="J32" s="25"/>
      <c r="K32" s="29"/>
      <c r="L32" s="25"/>
      <c r="M32" s="25"/>
      <c r="N32" s="29"/>
      <c r="O32" s="29"/>
      <c r="P32" s="29"/>
    </row>
    <row r="33" spans="1:16" x14ac:dyDescent="0.2">
      <c r="A33" s="72">
        <v>43143</v>
      </c>
      <c r="B33" s="4" t="s">
        <v>1172</v>
      </c>
      <c r="C33" s="25"/>
      <c r="D33" s="25"/>
      <c r="E33" s="25"/>
      <c r="F33" s="25"/>
      <c r="G33" s="25"/>
      <c r="H33" s="25"/>
      <c r="I33" s="25"/>
      <c r="J33" s="25"/>
      <c r="K33" s="29"/>
      <c r="L33" s="25"/>
      <c r="M33" s="25"/>
      <c r="N33" s="29"/>
      <c r="O33" s="29"/>
      <c r="P33" s="29"/>
    </row>
    <row r="34" spans="1:16" x14ac:dyDescent="0.2">
      <c r="A34" s="4"/>
      <c r="B34" s="4"/>
      <c r="C34" s="25"/>
      <c r="D34" s="25"/>
      <c r="E34" s="25"/>
      <c r="F34" s="25"/>
      <c r="G34" s="25"/>
      <c r="H34" s="25"/>
      <c r="I34" s="25"/>
      <c r="J34" s="25"/>
      <c r="K34" s="29"/>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9"/>
      <c r="L42" s="25"/>
      <c r="M42" s="25"/>
      <c r="N42" s="29"/>
      <c r="O42" s="29"/>
      <c r="P42" s="29"/>
    </row>
    <row r="43" spans="1:16" x14ac:dyDescent="0.2">
      <c r="A43" s="4"/>
      <c r="B43" s="4"/>
      <c r="C43" s="25"/>
      <c r="D43" s="25"/>
      <c r="E43" s="25"/>
      <c r="F43" s="25"/>
      <c r="G43" s="25"/>
      <c r="H43" s="25"/>
      <c r="I43" s="25"/>
      <c r="J43" s="25"/>
      <c r="K43" s="29"/>
      <c r="L43" s="25"/>
      <c r="M43" s="25"/>
      <c r="N43" s="29"/>
      <c r="O43" s="29"/>
      <c r="P43" s="29"/>
    </row>
    <row r="44" spans="1:16" x14ac:dyDescent="0.2">
      <c r="A44" s="4"/>
      <c r="B44" s="4"/>
      <c r="C44" s="25"/>
      <c r="D44" s="25"/>
      <c r="E44" s="25"/>
      <c r="F44" s="25"/>
      <c r="G44" s="25"/>
      <c r="H44" s="25"/>
      <c r="I44" s="25"/>
      <c r="J44" s="25"/>
      <c r="K44" s="29"/>
      <c r="L44" s="25"/>
      <c r="M44" s="25"/>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c r="C46" s="25"/>
      <c r="D46" s="25"/>
      <c r="E46" s="25"/>
      <c r="F46" s="25"/>
      <c r="G46" s="25"/>
      <c r="H46" s="25"/>
      <c r="I46" s="25"/>
      <c r="J46" s="25"/>
      <c r="K46" s="29"/>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29"/>
      <c r="L50" s="25"/>
      <c r="M50" s="25"/>
      <c r="N50" s="29"/>
      <c r="O50" s="29"/>
      <c r="P50" s="29"/>
    </row>
    <row r="51" spans="1:16" x14ac:dyDescent="0.2">
      <c r="A51" s="4"/>
      <c r="B51" s="4"/>
      <c r="C51" s="25"/>
      <c r="D51" s="25"/>
      <c r="E51" s="25"/>
      <c r="F51" s="25"/>
      <c r="G51" s="25"/>
      <c r="H51" s="25"/>
      <c r="I51" s="25"/>
      <c r="J51" s="25"/>
      <c r="K51" s="29"/>
      <c r="L51" s="25"/>
      <c r="M51" s="25"/>
      <c r="N51" s="29"/>
      <c r="O51" s="29"/>
      <c r="P51" s="29"/>
    </row>
    <row r="52" spans="1:16" x14ac:dyDescent="0.2">
      <c r="A52" s="4"/>
      <c r="B52" s="4"/>
      <c r="C52" s="25"/>
      <c r="D52" s="25"/>
      <c r="E52" s="25"/>
      <c r="F52" s="25"/>
      <c r="G52" s="25"/>
      <c r="H52" s="25"/>
      <c r="I52" s="25"/>
      <c r="J52" s="25"/>
      <c r="K52" s="29"/>
      <c r="L52" s="25"/>
      <c r="M52" s="25"/>
      <c r="N52" s="29"/>
      <c r="O52" s="29"/>
      <c r="P52" s="29"/>
    </row>
    <row r="53" spans="1:16" x14ac:dyDescent="0.2">
      <c r="A53" s="4"/>
      <c r="B53" s="4"/>
      <c r="C53" s="25"/>
      <c r="D53" s="25"/>
      <c r="E53" s="25"/>
      <c r="F53" s="25"/>
      <c r="G53" s="25"/>
      <c r="H53" s="25"/>
      <c r="I53" s="25"/>
      <c r="J53" s="25"/>
      <c r="K53" s="29"/>
      <c r="L53" s="25"/>
      <c r="M53" s="25"/>
      <c r="N53" s="29"/>
      <c r="O53" s="29"/>
      <c r="P53" s="29"/>
    </row>
    <row r="54" spans="1:16" x14ac:dyDescent="0.2">
      <c r="A54" s="4"/>
      <c r="B54" s="4"/>
      <c r="C54" s="25"/>
      <c r="D54" s="25"/>
      <c r="E54" s="25"/>
      <c r="F54" s="25"/>
      <c r="G54" s="25"/>
      <c r="H54" s="25"/>
      <c r="I54" s="25"/>
      <c r="J54" s="25"/>
      <c r="K54" s="29"/>
      <c r="L54" s="25"/>
      <c r="M54" s="25"/>
      <c r="N54" s="29"/>
      <c r="O54" s="29"/>
      <c r="P54" s="29"/>
    </row>
    <row r="55" spans="1:16" x14ac:dyDescent="0.2">
      <c r="A55" s="4"/>
      <c r="B55" s="4"/>
      <c r="C55" s="25"/>
      <c r="D55" s="25"/>
      <c r="E55" s="25"/>
      <c r="F55" s="25"/>
      <c r="G55" s="25"/>
      <c r="H55" s="25"/>
      <c r="I55" s="25"/>
      <c r="J55" s="25"/>
      <c r="K55" s="29"/>
      <c r="L55" s="25"/>
      <c r="M55" s="25"/>
      <c r="N55" s="29"/>
      <c r="O55" s="29"/>
      <c r="P55" s="29"/>
    </row>
    <row r="56" spans="1:16" x14ac:dyDescent="0.2">
      <c r="A56" s="4"/>
      <c r="B56" s="4"/>
      <c r="C56" s="25"/>
      <c r="D56" s="25"/>
      <c r="E56" s="25"/>
      <c r="F56" s="25"/>
      <c r="G56" s="25"/>
      <c r="H56" s="25"/>
      <c r="I56" s="25"/>
      <c r="J56" s="25"/>
      <c r="K56" s="29"/>
      <c r="L56" s="25"/>
      <c r="M56" s="25"/>
      <c r="N56" s="29"/>
      <c r="O56" s="29"/>
      <c r="P56" s="29"/>
    </row>
    <row r="57" spans="1:16" x14ac:dyDescent="0.2">
      <c r="A57" s="4"/>
      <c r="B57" s="4"/>
      <c r="C57" s="25"/>
      <c r="D57" s="25"/>
      <c r="E57" s="25"/>
      <c r="F57" s="25"/>
      <c r="G57" s="25"/>
      <c r="H57" s="25"/>
      <c r="I57" s="25"/>
      <c r="J57" s="25"/>
      <c r="K57" s="29"/>
      <c r="L57" s="25"/>
      <c r="M57" s="25"/>
      <c r="N57" s="29"/>
      <c r="O57" s="29"/>
      <c r="P57" s="29"/>
    </row>
    <row r="58" spans="1:16" x14ac:dyDescent="0.2">
      <c r="A58" s="4"/>
      <c r="B58" s="4"/>
      <c r="C58" s="25"/>
      <c r="D58" s="25"/>
      <c r="E58" s="25"/>
      <c r="F58" s="25"/>
      <c r="G58" s="25"/>
      <c r="H58" s="25"/>
      <c r="I58" s="25"/>
      <c r="J58" s="25"/>
      <c r="K58" s="29"/>
      <c r="L58" s="25"/>
      <c r="M58" s="25"/>
      <c r="N58" s="29"/>
      <c r="O58" s="29"/>
      <c r="P58" s="29"/>
    </row>
    <row r="59" spans="1:16" x14ac:dyDescent="0.2">
      <c r="A59" s="4"/>
      <c r="B59" s="4"/>
      <c r="C59" s="25"/>
      <c r="D59" s="25"/>
      <c r="E59" s="25"/>
      <c r="F59" s="25"/>
      <c r="G59" s="25"/>
      <c r="H59" s="25"/>
      <c r="I59" s="25"/>
      <c r="J59" s="25"/>
      <c r="K59" s="29"/>
      <c r="L59" s="25"/>
      <c r="M59" s="25"/>
      <c r="N59" s="29"/>
      <c r="O59" s="29"/>
      <c r="P59" s="29"/>
    </row>
    <row r="60" spans="1:16" x14ac:dyDescent="0.2">
      <c r="A60" s="4"/>
      <c r="B60" s="4"/>
      <c r="C60" s="25"/>
      <c r="D60" s="25"/>
      <c r="E60" s="25"/>
      <c r="F60" s="25"/>
      <c r="G60" s="25"/>
      <c r="H60" s="25"/>
      <c r="I60" s="25"/>
      <c r="J60" s="25"/>
      <c r="K60" s="29"/>
      <c r="L60" s="25"/>
      <c r="M60" s="25"/>
      <c r="N60" s="29"/>
      <c r="O60" s="29"/>
      <c r="P60" s="29"/>
    </row>
    <row r="61" spans="1:16" x14ac:dyDescent="0.2">
      <c r="A61" s="4"/>
      <c r="B61" s="4"/>
      <c r="C61" s="25"/>
      <c r="D61" s="25"/>
      <c r="E61" s="25"/>
      <c r="F61" s="25"/>
      <c r="G61" s="25"/>
      <c r="H61" s="25"/>
      <c r="I61" s="25"/>
      <c r="J61" s="25"/>
      <c r="K61" s="29"/>
      <c r="L61" s="25"/>
      <c r="M61" s="25"/>
      <c r="N61" s="29"/>
      <c r="O61" s="29"/>
      <c r="P61" s="29"/>
    </row>
    <row r="62" spans="1:16" x14ac:dyDescent="0.2">
      <c r="A62" s="4"/>
      <c r="B62" s="4"/>
      <c r="C62" s="25"/>
      <c r="D62" s="25"/>
      <c r="E62" s="25"/>
      <c r="F62" s="25"/>
      <c r="G62" s="25"/>
      <c r="H62" s="25"/>
      <c r="I62" s="25"/>
      <c r="J62" s="25"/>
      <c r="K62" s="29"/>
      <c r="L62" s="25"/>
      <c r="M62" s="25"/>
      <c r="N62" s="29"/>
      <c r="O62" s="29"/>
      <c r="P62" s="29"/>
    </row>
    <row r="63" spans="1:16" x14ac:dyDescent="0.2">
      <c r="A63" s="4"/>
      <c r="B63" s="4"/>
      <c r="C63" s="25"/>
      <c r="D63" s="25"/>
      <c r="E63" s="25"/>
      <c r="F63" s="25"/>
      <c r="G63" s="25"/>
      <c r="H63" s="25"/>
      <c r="I63" s="25"/>
      <c r="J63" s="25"/>
      <c r="K63" s="29"/>
      <c r="L63" s="25"/>
      <c r="M63" s="25"/>
      <c r="N63" s="29"/>
      <c r="O63" s="29"/>
      <c r="P63" s="29"/>
    </row>
    <row r="64" spans="1:16" x14ac:dyDescent="0.2">
      <c r="A64" s="4"/>
      <c r="B64" s="4"/>
      <c r="C64" s="25"/>
      <c r="D64" s="25"/>
      <c r="E64" s="25"/>
      <c r="F64" s="25"/>
      <c r="G64" s="25"/>
      <c r="H64" s="25"/>
      <c r="I64" s="25"/>
      <c r="J64" s="25"/>
      <c r="K64" s="29"/>
      <c r="L64" s="25"/>
      <c r="M64" s="25"/>
      <c r="N64" s="29"/>
      <c r="O64" s="29"/>
      <c r="P64" s="29"/>
    </row>
    <row r="65" spans="1:16" x14ac:dyDescent="0.2">
      <c r="A65" s="4"/>
      <c r="B65" s="4"/>
      <c r="C65" s="25"/>
      <c r="D65" s="25"/>
      <c r="E65" s="25"/>
      <c r="F65" s="25"/>
      <c r="G65" s="25"/>
      <c r="H65" s="25"/>
      <c r="I65" s="25"/>
      <c r="J65" s="25"/>
      <c r="K65" s="29"/>
      <c r="L65" s="25"/>
      <c r="M65" s="25"/>
      <c r="N65" s="29"/>
      <c r="O65" s="29"/>
      <c r="P65" s="29"/>
    </row>
    <row r="66" spans="1:16" x14ac:dyDescent="0.2">
      <c r="A66" s="4"/>
      <c r="B66" s="4"/>
      <c r="C66" s="25"/>
      <c r="D66" s="25"/>
      <c r="E66" s="25"/>
      <c r="F66" s="25"/>
      <c r="G66" s="25"/>
      <c r="H66" s="25"/>
      <c r="I66" s="25"/>
      <c r="J66" s="25"/>
      <c r="K66" s="29"/>
      <c r="L66" s="25"/>
      <c r="M66" s="25"/>
      <c r="N66" s="29"/>
      <c r="O66" s="29"/>
      <c r="P66" s="29"/>
    </row>
    <row r="67" spans="1:16" x14ac:dyDescent="0.2">
      <c r="A67" s="4"/>
      <c r="B67" s="4"/>
      <c r="C67" s="25"/>
      <c r="D67" s="25"/>
      <c r="E67" s="25"/>
      <c r="F67" s="25"/>
      <c r="G67" s="25"/>
      <c r="H67" s="25"/>
      <c r="I67" s="25"/>
      <c r="J67" s="25"/>
      <c r="K67" s="29"/>
      <c r="L67" s="25"/>
      <c r="M67" s="25"/>
      <c r="N67" s="29"/>
      <c r="O67" s="29"/>
      <c r="P67" s="29"/>
    </row>
    <row r="68" spans="1:16" x14ac:dyDescent="0.2">
      <c r="A68" s="4"/>
      <c r="B68" s="4"/>
      <c r="C68" s="25"/>
      <c r="D68" s="25"/>
      <c r="E68" s="25"/>
      <c r="F68" s="25"/>
      <c r="G68" s="25"/>
      <c r="H68" s="25"/>
      <c r="I68" s="25"/>
      <c r="J68" s="25"/>
      <c r="K68" s="29"/>
      <c r="L68" s="25"/>
      <c r="M68" s="25"/>
      <c r="N68" s="29"/>
      <c r="O68" s="29"/>
      <c r="P68" s="29"/>
    </row>
    <row r="69" spans="1:16" x14ac:dyDescent="0.2">
      <c r="A69" s="4"/>
      <c r="B69" s="4"/>
      <c r="C69" s="25"/>
      <c r="D69" s="25"/>
      <c r="E69" s="25"/>
      <c r="F69" s="25"/>
      <c r="G69" s="25"/>
      <c r="H69" s="25"/>
      <c r="I69" s="25"/>
      <c r="J69" s="25"/>
      <c r="K69" s="29"/>
      <c r="L69" s="25"/>
      <c r="M69" s="25"/>
      <c r="N69" s="29"/>
      <c r="O69" s="29"/>
      <c r="P69" s="29"/>
    </row>
    <row r="70" spans="1:16" x14ac:dyDescent="0.2">
      <c r="A70" s="4"/>
      <c r="B70" s="4"/>
      <c r="C70" s="25"/>
      <c r="D70" s="25"/>
      <c r="E70" s="25"/>
      <c r="F70" s="25"/>
      <c r="G70" s="25"/>
      <c r="H70" s="25"/>
      <c r="I70" s="25"/>
      <c r="J70" s="25"/>
      <c r="K70" s="29"/>
      <c r="L70" s="25"/>
      <c r="M70" s="25"/>
      <c r="N70" s="29"/>
      <c r="O70" s="29"/>
      <c r="P70" s="29"/>
    </row>
    <row r="71" spans="1:16" x14ac:dyDescent="0.2">
      <c r="A71" s="4"/>
      <c r="B71" s="4"/>
      <c r="C71" s="25"/>
      <c r="D71" s="25"/>
      <c r="E71" s="25"/>
      <c r="F71" s="25"/>
      <c r="G71" s="25"/>
      <c r="H71" s="25"/>
      <c r="I71" s="25"/>
      <c r="J71" s="25"/>
      <c r="K71" s="29"/>
      <c r="L71" s="25"/>
      <c r="M71" s="25"/>
      <c r="N71" s="29"/>
      <c r="O71" s="29"/>
      <c r="P71" s="29"/>
    </row>
    <row r="72" spans="1:16" x14ac:dyDescent="0.2">
      <c r="A72" s="4"/>
      <c r="B72" s="4"/>
      <c r="C72" s="25"/>
      <c r="D72" s="25"/>
      <c r="E72" s="25"/>
      <c r="F72" s="25"/>
      <c r="G72" s="25"/>
      <c r="H72" s="25"/>
      <c r="I72" s="25"/>
      <c r="J72" s="25"/>
      <c r="K72" s="29"/>
      <c r="L72" s="25"/>
      <c r="M72" s="25"/>
      <c r="N72" s="29"/>
      <c r="O72" s="29"/>
      <c r="P72" s="29"/>
    </row>
    <row r="73" spans="1:16" x14ac:dyDescent="0.2">
      <c r="A73" s="4"/>
      <c r="B73" s="4"/>
      <c r="C73" s="25"/>
      <c r="D73" s="25"/>
      <c r="E73" s="25"/>
      <c r="F73" s="25"/>
      <c r="G73" s="25"/>
      <c r="H73" s="25"/>
      <c r="I73" s="25"/>
      <c r="J73" s="25"/>
      <c r="K73" s="29"/>
      <c r="L73" s="25"/>
      <c r="M73" s="25"/>
      <c r="N73" s="29"/>
      <c r="O73" s="29"/>
      <c r="P73" s="29"/>
    </row>
    <row r="74" spans="1:16" x14ac:dyDescent="0.2">
      <c r="A74" s="4"/>
      <c r="B74" s="4"/>
      <c r="C74" s="25"/>
      <c r="D74" s="25"/>
      <c r="E74" s="25"/>
      <c r="F74" s="25"/>
      <c r="G74" s="25"/>
      <c r="H74" s="25"/>
      <c r="I74" s="25"/>
      <c r="J74" s="25"/>
      <c r="K74" s="29"/>
      <c r="L74" s="25"/>
      <c r="M74" s="25"/>
      <c r="N74" s="29"/>
      <c r="O74" s="29"/>
      <c r="P74" s="29"/>
    </row>
    <row r="75" spans="1:16" x14ac:dyDescent="0.2">
      <c r="A75" s="4"/>
      <c r="B75" s="4"/>
      <c r="C75" s="25"/>
      <c r="D75" s="25"/>
      <c r="E75" s="25"/>
      <c r="F75" s="25"/>
      <c r="G75" s="25"/>
      <c r="H75" s="25"/>
      <c r="I75" s="25"/>
      <c r="J75" s="25"/>
      <c r="K75" s="29"/>
      <c r="L75" s="25"/>
      <c r="M75" s="25"/>
      <c r="N75" s="29"/>
      <c r="O75" s="29"/>
      <c r="P75" s="29"/>
    </row>
    <row r="76" spans="1:16" x14ac:dyDescent="0.2">
      <c r="A76" s="4"/>
      <c r="B76" s="4"/>
      <c r="C76" s="25"/>
      <c r="D76" s="25"/>
      <c r="E76" s="25"/>
      <c r="F76" s="25"/>
      <c r="G76" s="25"/>
      <c r="H76" s="25"/>
      <c r="I76" s="25"/>
      <c r="J76" s="25"/>
      <c r="K76" s="29"/>
      <c r="L76" s="25"/>
      <c r="M76" s="25"/>
      <c r="N76" s="29"/>
      <c r="O76" s="29"/>
      <c r="P76" s="29"/>
    </row>
    <row r="77" spans="1:16" x14ac:dyDescent="0.2">
      <c r="A77" s="4"/>
      <c r="B77" s="4"/>
      <c r="C77" s="25"/>
      <c r="D77" s="25"/>
      <c r="E77" s="25"/>
      <c r="F77" s="25"/>
      <c r="G77" s="25"/>
      <c r="H77" s="25"/>
      <c r="I77" s="25"/>
      <c r="J77" s="25"/>
      <c r="K77" s="29"/>
      <c r="L77" s="25"/>
      <c r="M77" s="25"/>
      <c r="N77" s="29"/>
      <c r="O77" s="29"/>
      <c r="P77" s="29"/>
    </row>
    <row r="78" spans="1:16" x14ac:dyDescent="0.2">
      <c r="A78" s="4"/>
      <c r="B78" s="4"/>
      <c r="C78" s="25"/>
      <c r="D78" s="25"/>
      <c r="E78" s="25"/>
      <c r="F78" s="25"/>
      <c r="G78" s="25"/>
      <c r="H78" s="25"/>
      <c r="I78" s="25"/>
      <c r="J78" s="25"/>
      <c r="K78" s="29"/>
      <c r="L78" s="25"/>
      <c r="M78" s="25"/>
      <c r="N78" s="29"/>
      <c r="O78" s="29"/>
      <c r="P78" s="29"/>
    </row>
    <row r="79" spans="1:16" x14ac:dyDescent="0.2">
      <c r="A79" s="4"/>
      <c r="B79" s="4"/>
      <c r="C79" s="25"/>
      <c r="D79" s="25"/>
      <c r="E79" s="25"/>
      <c r="F79" s="25"/>
      <c r="G79" s="25"/>
      <c r="H79" s="25"/>
      <c r="I79" s="25"/>
      <c r="J79" s="25"/>
      <c r="K79" s="29"/>
      <c r="L79" s="25"/>
      <c r="M79" s="25"/>
      <c r="N79" s="29"/>
      <c r="O79" s="29"/>
      <c r="P79" s="29"/>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A123" s="4"/>
      <c r="B123" s="4"/>
      <c r="C123" s="25"/>
      <c r="D123" s="25"/>
      <c r="E123" s="25"/>
      <c r="F123" s="25"/>
      <c r="G123" s="25"/>
      <c r="H123" s="25"/>
      <c r="I123" s="25"/>
      <c r="J123" s="25"/>
      <c r="K123" s="4"/>
      <c r="L123" s="25"/>
      <c r="M123" s="25"/>
      <c r="N123" s="4"/>
      <c r="O123" s="4"/>
      <c r="P123" s="4"/>
    </row>
    <row r="124" spans="1:16" x14ac:dyDescent="0.2">
      <c r="A124" s="4"/>
      <c r="B124" s="4"/>
      <c r="C124" s="25"/>
      <c r="D124" s="25"/>
      <c r="E124" s="25"/>
      <c r="F124" s="25"/>
      <c r="G124" s="25"/>
      <c r="H124" s="25"/>
      <c r="I124" s="25"/>
      <c r="J124" s="25"/>
      <c r="K124" s="4"/>
      <c r="L124" s="25"/>
      <c r="M124" s="25"/>
      <c r="N124" s="4"/>
      <c r="O124" s="4"/>
      <c r="P124" s="4"/>
    </row>
    <row r="125" spans="1:16" x14ac:dyDescent="0.2">
      <c r="A125" s="4"/>
      <c r="B125" s="4"/>
      <c r="C125" s="25"/>
      <c r="D125" s="25"/>
      <c r="E125" s="25"/>
      <c r="F125" s="25"/>
      <c r="G125" s="25"/>
      <c r="H125" s="25"/>
      <c r="I125" s="25"/>
      <c r="J125" s="25"/>
      <c r="K125" s="4"/>
      <c r="L125" s="25"/>
      <c r="M125" s="25"/>
      <c r="N125" s="4"/>
      <c r="O125" s="4"/>
      <c r="P125" s="4"/>
    </row>
    <row r="126" spans="1:16" x14ac:dyDescent="0.2">
      <c r="A126" s="4"/>
      <c r="B126" s="4"/>
      <c r="C126" s="25"/>
      <c r="D126" s="25"/>
      <c r="E126" s="25"/>
      <c r="F126" s="25"/>
      <c r="G126" s="25"/>
      <c r="H126" s="25"/>
      <c r="I126" s="25"/>
      <c r="J126" s="25"/>
      <c r="K126" s="4"/>
      <c r="L126" s="25"/>
      <c r="M126" s="25"/>
      <c r="N126" s="4"/>
      <c r="O126" s="4"/>
      <c r="P126" s="4"/>
    </row>
    <row r="127" spans="1:16" x14ac:dyDescent="0.2">
      <c r="A127" s="4"/>
      <c r="B127" s="4"/>
      <c r="C127" s="25"/>
      <c r="D127" s="25"/>
      <c r="E127" s="25"/>
      <c r="F127" s="25"/>
      <c r="G127" s="25"/>
      <c r="H127" s="25"/>
      <c r="I127" s="25"/>
      <c r="J127" s="25"/>
      <c r="K127" s="4"/>
      <c r="L127" s="25"/>
      <c r="M127" s="25"/>
      <c r="N127" s="4"/>
      <c r="O127" s="4"/>
      <c r="P127" s="4"/>
    </row>
    <row r="128" spans="1:16" x14ac:dyDescent="0.2">
      <c r="A128" s="4"/>
      <c r="B128" s="4"/>
      <c r="C128" s="25"/>
      <c r="D128" s="25"/>
      <c r="E128" s="25"/>
      <c r="F128" s="25"/>
      <c r="G128" s="25"/>
      <c r="H128" s="25"/>
      <c r="I128" s="25"/>
      <c r="J128" s="25"/>
      <c r="K128" s="4"/>
      <c r="L128" s="25"/>
      <c r="M128" s="25"/>
      <c r="N128" s="4"/>
      <c r="O128" s="4"/>
      <c r="P128" s="4"/>
    </row>
    <row r="129" spans="1:16" x14ac:dyDescent="0.2">
      <c r="A129" s="4"/>
      <c r="B129" s="4"/>
      <c r="C129" s="25"/>
      <c r="D129" s="25"/>
      <c r="E129" s="25"/>
      <c r="F129" s="25"/>
      <c r="G129" s="25"/>
      <c r="H129" s="25"/>
      <c r="I129" s="25"/>
      <c r="J129" s="25"/>
      <c r="K129" s="4"/>
      <c r="L129" s="25"/>
      <c r="M129" s="25"/>
      <c r="N129" s="4"/>
      <c r="O129" s="4"/>
      <c r="P129" s="4"/>
    </row>
    <row r="130" spans="1:16" x14ac:dyDescent="0.2">
      <c r="A130" s="4"/>
      <c r="B130" s="4"/>
      <c r="C130" s="25"/>
      <c r="D130" s="25"/>
      <c r="E130" s="25"/>
      <c r="F130" s="25"/>
      <c r="G130" s="25"/>
      <c r="H130" s="25"/>
      <c r="I130" s="25"/>
      <c r="J130" s="25"/>
      <c r="K130" s="4"/>
      <c r="L130" s="25"/>
      <c r="M130" s="25"/>
      <c r="N130" s="4"/>
      <c r="O130" s="4"/>
      <c r="P130" s="4"/>
    </row>
    <row r="131" spans="1:16" x14ac:dyDescent="0.2">
      <c r="A131" s="4"/>
      <c r="B131" s="4"/>
      <c r="C131" s="25"/>
      <c r="D131" s="25"/>
      <c r="E131" s="25"/>
      <c r="F131" s="25"/>
      <c r="G131" s="25"/>
      <c r="H131" s="25"/>
      <c r="I131" s="25"/>
      <c r="J131" s="25"/>
      <c r="K131" s="4"/>
      <c r="L131" s="25"/>
      <c r="M131" s="25"/>
      <c r="N131" s="4"/>
      <c r="O131" s="4"/>
      <c r="P131" s="4"/>
    </row>
    <row r="132" spans="1:16" x14ac:dyDescent="0.2">
      <c r="A132" s="4"/>
      <c r="B132" s="4"/>
      <c r="C132" s="25"/>
      <c r="D132" s="25"/>
      <c r="E132" s="25"/>
      <c r="F132" s="25"/>
      <c r="G132" s="25"/>
      <c r="H132" s="25"/>
      <c r="I132" s="25"/>
      <c r="J132" s="25"/>
      <c r="K132" s="4"/>
      <c r="L132" s="25"/>
      <c r="M132" s="25"/>
      <c r="N132" s="4"/>
      <c r="O132" s="4"/>
      <c r="P132" s="4"/>
    </row>
    <row r="133" spans="1:16" x14ac:dyDescent="0.2">
      <c r="A133" s="4"/>
      <c r="B133" s="4"/>
      <c r="C133" s="25"/>
      <c r="D133" s="25"/>
      <c r="E133" s="25"/>
      <c r="F133" s="25"/>
      <c r="G133" s="25"/>
      <c r="H133" s="25"/>
      <c r="I133" s="25"/>
      <c r="J133" s="25"/>
      <c r="K133" s="4"/>
      <c r="L133" s="25"/>
      <c r="M133" s="25"/>
      <c r="N133" s="4"/>
      <c r="O133" s="4"/>
      <c r="P133" s="4"/>
    </row>
    <row r="134" spans="1:16" x14ac:dyDescent="0.2">
      <c r="A134" s="4"/>
      <c r="B134" s="4"/>
      <c r="C134" s="25"/>
      <c r="D134" s="25"/>
      <c r="E134" s="25"/>
      <c r="F134" s="25"/>
      <c r="G134" s="25"/>
      <c r="H134" s="25"/>
      <c r="I134" s="25"/>
      <c r="J134" s="25"/>
      <c r="K134" s="4"/>
      <c r="L134" s="25"/>
      <c r="M134" s="25"/>
      <c r="N134" s="4"/>
      <c r="O134" s="4"/>
      <c r="P134" s="4"/>
    </row>
    <row r="135" spans="1:16" x14ac:dyDescent="0.2">
      <c r="A135" s="4"/>
      <c r="B135" s="4"/>
      <c r="C135" s="25"/>
      <c r="D135" s="25"/>
      <c r="E135" s="25"/>
      <c r="F135" s="25"/>
      <c r="G135" s="25"/>
      <c r="H135" s="25"/>
      <c r="I135" s="25"/>
      <c r="J135" s="25"/>
      <c r="K135" s="4"/>
      <c r="L135" s="25"/>
      <c r="M135" s="25"/>
      <c r="N135" s="4"/>
      <c r="O135" s="4"/>
      <c r="P135" s="4"/>
    </row>
    <row r="136" spans="1:16" x14ac:dyDescent="0.2">
      <c r="A136" s="4"/>
      <c r="B136" s="4"/>
      <c r="C136" s="25"/>
      <c r="D136" s="25"/>
      <c r="E136" s="25"/>
      <c r="F136" s="25"/>
      <c r="G136" s="25"/>
      <c r="H136" s="25"/>
      <c r="I136" s="25"/>
      <c r="J136" s="25"/>
      <c r="K136" s="4"/>
      <c r="L136" s="25"/>
      <c r="M136" s="25"/>
      <c r="N136" s="4"/>
      <c r="O136" s="4"/>
      <c r="P136" s="4"/>
    </row>
    <row r="137" spans="1:16" x14ac:dyDescent="0.2">
      <c r="A137" s="4"/>
      <c r="B137" s="4"/>
      <c r="C137" s="25"/>
      <c r="D137" s="25"/>
      <c r="E137" s="25"/>
      <c r="F137" s="25"/>
      <c r="G137" s="25"/>
      <c r="H137" s="25"/>
      <c r="I137" s="25"/>
      <c r="J137" s="25"/>
      <c r="K137" s="4"/>
      <c r="L137" s="25"/>
      <c r="M137" s="25"/>
      <c r="N137" s="4"/>
      <c r="O137" s="4"/>
      <c r="P137" s="4"/>
    </row>
    <row r="138" spans="1:16" x14ac:dyDescent="0.2">
      <c r="A138" s="4"/>
      <c r="B138" s="4"/>
      <c r="C138" s="25"/>
      <c r="D138" s="25"/>
      <c r="E138" s="25"/>
      <c r="F138" s="25"/>
      <c r="G138" s="25"/>
      <c r="H138" s="25"/>
      <c r="I138" s="25"/>
      <c r="J138" s="25"/>
      <c r="K138" s="4"/>
      <c r="L138" s="25"/>
      <c r="M138" s="25"/>
      <c r="N138" s="4"/>
      <c r="O138" s="4"/>
      <c r="P138" s="4"/>
    </row>
    <row r="139" spans="1:16" x14ac:dyDescent="0.2">
      <c r="A139" s="4"/>
      <c r="B139" s="4"/>
      <c r="C139" s="25"/>
      <c r="D139" s="25"/>
      <c r="E139" s="25"/>
      <c r="F139" s="25"/>
      <c r="G139" s="25"/>
      <c r="H139" s="25"/>
      <c r="I139" s="25"/>
      <c r="J139" s="25"/>
      <c r="K139" s="4"/>
      <c r="L139" s="25"/>
      <c r="M139" s="25"/>
      <c r="N139" s="4"/>
      <c r="O139" s="4"/>
      <c r="P139" s="4"/>
    </row>
    <row r="140" spans="1:16" x14ac:dyDescent="0.2">
      <c r="A140" s="4"/>
      <c r="B140" s="4"/>
      <c r="C140" s="25"/>
      <c r="D140" s="25"/>
      <c r="E140" s="25"/>
      <c r="F140" s="25"/>
      <c r="G140" s="25"/>
      <c r="H140" s="25"/>
      <c r="I140" s="25"/>
      <c r="J140" s="25"/>
      <c r="K140" s="4"/>
      <c r="L140" s="25"/>
      <c r="M140" s="25"/>
      <c r="N140" s="4"/>
      <c r="O140" s="4"/>
      <c r="P140" s="4"/>
    </row>
    <row r="141" spans="1:16" x14ac:dyDescent="0.2">
      <c r="A141" s="4"/>
      <c r="B141" s="4"/>
      <c r="C141" s="25"/>
      <c r="D141" s="25"/>
      <c r="E141" s="25"/>
      <c r="F141" s="25"/>
      <c r="G141" s="25"/>
      <c r="H141" s="25"/>
      <c r="I141" s="25"/>
      <c r="J141" s="25"/>
      <c r="K141" s="4"/>
      <c r="L141" s="25"/>
      <c r="M141" s="25"/>
      <c r="N141" s="4"/>
      <c r="O141" s="4"/>
      <c r="P141" s="4"/>
    </row>
    <row r="142" spans="1:16" x14ac:dyDescent="0.2">
      <c r="A142" s="4"/>
      <c r="B142" s="4"/>
      <c r="C142" s="25"/>
      <c r="D142" s="25"/>
      <c r="E142" s="25"/>
      <c r="F142" s="25"/>
      <c r="G142" s="25"/>
      <c r="H142" s="25"/>
      <c r="I142" s="25"/>
      <c r="J142" s="25"/>
      <c r="K142" s="4"/>
      <c r="L142" s="25"/>
      <c r="M142" s="25"/>
      <c r="N142" s="4"/>
      <c r="O142" s="4"/>
      <c r="P142" s="4"/>
    </row>
    <row r="143" spans="1:16" x14ac:dyDescent="0.2">
      <c r="A143" s="4"/>
      <c r="B143" s="4"/>
      <c r="C143" s="25"/>
      <c r="D143" s="25"/>
      <c r="E143" s="25"/>
      <c r="F143" s="25"/>
      <c r="G143" s="25"/>
      <c r="H143" s="25"/>
      <c r="I143" s="25"/>
      <c r="J143" s="25"/>
      <c r="K143" s="4"/>
      <c r="L143" s="25"/>
      <c r="M143" s="25"/>
      <c r="N143" s="4"/>
      <c r="O143" s="4"/>
      <c r="P143" s="4"/>
    </row>
    <row r="144" spans="1:16"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row r="178" spans="3:3" x14ac:dyDescent="0.2">
      <c r="C178" s="121"/>
    </row>
    <row r="179" spans="3:3" x14ac:dyDescent="0.2">
      <c r="C179" s="121"/>
    </row>
    <row r="180" spans="3:3" x14ac:dyDescent="0.2">
      <c r="C180" s="121"/>
    </row>
    <row r="181" spans="3:3" x14ac:dyDescent="0.2">
      <c r="C181" s="121"/>
    </row>
    <row r="182" spans="3:3" x14ac:dyDescent="0.2">
      <c r="C182" s="121"/>
    </row>
    <row r="183" spans="3:3" x14ac:dyDescent="0.2">
      <c r="C183" s="121"/>
    </row>
    <row r="184" spans="3:3" x14ac:dyDescent="0.2">
      <c r="C184" s="121"/>
    </row>
    <row r="185" spans="3:3" x14ac:dyDescent="0.2">
      <c r="C185" s="121"/>
    </row>
    <row r="186" spans="3:3" x14ac:dyDescent="0.2">
      <c r="C186" s="121"/>
    </row>
    <row r="187" spans="3:3" x14ac:dyDescent="0.2">
      <c r="C187" s="121"/>
    </row>
    <row r="188" spans="3:3" x14ac:dyDescent="0.2">
      <c r="C188" s="121"/>
    </row>
    <row r="189" spans="3:3" x14ac:dyDescent="0.2">
      <c r="C189" s="121"/>
    </row>
    <row r="190" spans="3:3" x14ac:dyDescent="0.2">
      <c r="C190" s="121"/>
    </row>
    <row r="191" spans="3:3" x14ac:dyDescent="0.2">
      <c r="C191"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horizontalDpi="300" verticalDpi="300" r:id="rId1"/>
  <headerFooter alignWithMargins="0">
    <oddFooter>&amp;L&amp;D     &amp;T&amp;C&amp;F&amp;R&amp;A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7"/>
  <sheetViews>
    <sheetView zoomScale="85" workbookViewId="0">
      <pane ySplit="7" topLeftCell="A8" activePane="bottomLeft" state="frozen"/>
      <selection activeCell="K15" sqref="K15"/>
      <selection pane="bottomLeft" activeCell="A22" sqref="A22:B23"/>
    </sheetView>
  </sheetViews>
  <sheetFormatPr defaultRowHeight="12.75" x14ac:dyDescent="0.2"/>
  <cols>
    <col min="2" max="2" width="38.1640625" customWidth="1"/>
    <col min="3" max="3" width="15.83203125" style="1" hidden="1" customWidth="1"/>
    <col min="4" max="7" width="15.5" style="121" hidden="1" customWidth="1"/>
    <col min="8" max="10" width="15.5" style="121" customWidth="1"/>
    <col min="11" max="11" width="15.83203125" customWidth="1"/>
    <col min="12" max="13" width="16.83203125" style="1" customWidth="1"/>
    <col min="14" max="16" width="14.5" customWidth="1"/>
    <col min="17" max="17" width="14.6640625" style="2" customWidth="1"/>
  </cols>
  <sheetData>
    <row r="1" spans="1:16" x14ac:dyDescent="0.2">
      <c r="A1" s="410" t="s">
        <v>1013</v>
      </c>
      <c r="B1" s="410" t="s">
        <v>1418</v>
      </c>
      <c r="M1"/>
    </row>
    <row r="2" spans="1:16" ht="15" x14ac:dyDescent="0.25">
      <c r="A2" s="49" t="s">
        <v>262</v>
      </c>
      <c r="B2" s="49"/>
      <c r="E2" s="153"/>
      <c r="H2" s="153" t="s">
        <v>252</v>
      </c>
      <c r="I2" s="153"/>
      <c r="J2" s="153"/>
      <c r="K2" s="67" t="s">
        <v>320</v>
      </c>
      <c r="M2" s="50" t="s">
        <v>500</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138" t="s">
        <v>122</v>
      </c>
      <c r="F4" s="279" t="s">
        <v>122</v>
      </c>
      <c r="G4" s="279" t="s">
        <v>1169</v>
      </c>
      <c r="H4" s="119" t="s">
        <v>122</v>
      </c>
      <c r="I4" s="317" t="s">
        <v>122</v>
      </c>
      <c r="J4" s="317" t="s">
        <v>542</v>
      </c>
      <c r="K4" s="119" t="s">
        <v>489</v>
      </c>
      <c r="L4" s="7" t="s">
        <v>900</v>
      </c>
      <c r="M4" s="7" t="s">
        <v>900</v>
      </c>
    </row>
    <row r="5" spans="1:16" x14ac:dyDescent="0.2">
      <c r="A5" s="93"/>
      <c r="B5" s="216"/>
      <c r="C5" s="137"/>
      <c r="D5" s="94"/>
      <c r="E5" s="118"/>
      <c r="F5" s="94"/>
      <c r="G5" s="94"/>
      <c r="H5" s="120"/>
      <c r="I5" s="318"/>
      <c r="J5" s="318"/>
      <c r="K5" s="120" t="s">
        <v>509</v>
      </c>
      <c r="L5" s="95" t="s">
        <v>7</v>
      </c>
      <c r="M5" s="209" t="s">
        <v>783</v>
      </c>
    </row>
    <row r="6" spans="1:16" x14ac:dyDescent="0.2">
      <c r="A6" s="93"/>
      <c r="B6" s="216"/>
      <c r="C6" s="94"/>
      <c r="D6" s="118"/>
      <c r="E6" s="118"/>
      <c r="F6" s="94"/>
      <c r="G6" s="94"/>
      <c r="H6" s="94"/>
      <c r="I6" s="96"/>
      <c r="J6" s="96"/>
      <c r="K6" s="94"/>
      <c r="L6" s="95" t="s">
        <v>8</v>
      </c>
      <c r="M6" s="51" t="s">
        <v>537</v>
      </c>
    </row>
    <row r="7" spans="1:16" ht="13.5" thickBot="1" x14ac:dyDescent="0.25">
      <c r="A7" s="8" t="s">
        <v>123</v>
      </c>
      <c r="B7" s="89"/>
      <c r="C7" s="338" t="s">
        <v>334</v>
      </c>
      <c r="D7" s="338" t="s">
        <v>718</v>
      </c>
      <c r="E7" s="88" t="s">
        <v>734</v>
      </c>
      <c r="F7" s="88" t="s">
        <v>791</v>
      </c>
      <c r="G7" s="88" t="s">
        <v>881</v>
      </c>
      <c r="H7" s="88" t="s">
        <v>1010</v>
      </c>
      <c r="I7" s="88" t="s">
        <v>1072</v>
      </c>
      <c r="J7" s="88" t="s">
        <v>899</v>
      </c>
      <c r="K7" s="146">
        <v>43830</v>
      </c>
      <c r="L7" s="88" t="s">
        <v>9</v>
      </c>
      <c r="M7" s="9" t="s">
        <v>541</v>
      </c>
    </row>
    <row r="8" spans="1:16" ht="13.5" thickTop="1" x14ac:dyDescent="0.2">
      <c r="A8" s="30"/>
      <c r="B8" s="218"/>
      <c r="C8" s="142"/>
      <c r="D8" s="142"/>
      <c r="E8" s="142"/>
      <c r="F8" s="507"/>
      <c r="G8" s="142"/>
      <c r="H8" s="142"/>
      <c r="I8" s="99"/>
      <c r="J8" s="99"/>
      <c r="K8" s="142"/>
      <c r="L8" s="99"/>
      <c r="M8" s="33"/>
    </row>
    <row r="9" spans="1:16" x14ac:dyDescent="0.2">
      <c r="A9" s="30">
        <v>5170</v>
      </c>
      <c r="B9" s="69" t="s">
        <v>367</v>
      </c>
      <c r="C9" s="142">
        <v>37150.800000000003</v>
      </c>
      <c r="D9" s="142">
        <v>37644.33</v>
      </c>
      <c r="E9" s="142">
        <v>32019.119999999999</v>
      </c>
      <c r="F9" s="142">
        <v>20586.78</v>
      </c>
      <c r="G9" s="142">
        <v>14635.2</v>
      </c>
      <c r="H9" s="142">
        <v>5024.76</v>
      </c>
      <c r="I9" s="461">
        <v>2859.88</v>
      </c>
      <c r="J9" s="364">
        <v>2045</v>
      </c>
      <c r="K9" s="142"/>
      <c r="L9" s="364">
        <v>2045</v>
      </c>
      <c r="M9" s="15"/>
    </row>
    <row r="10" spans="1:16" x14ac:dyDescent="0.2">
      <c r="A10" s="12">
        <v>5171</v>
      </c>
      <c r="B10" s="69" t="s">
        <v>232</v>
      </c>
      <c r="C10" s="140">
        <v>752282</v>
      </c>
      <c r="D10" s="140">
        <v>789701</v>
      </c>
      <c r="E10" s="140">
        <v>794597</v>
      </c>
      <c r="F10" s="140">
        <v>837143</v>
      </c>
      <c r="G10" s="140">
        <v>861504</v>
      </c>
      <c r="H10" s="140">
        <v>900214</v>
      </c>
      <c r="I10" s="460">
        <v>926159</v>
      </c>
      <c r="J10" s="363">
        <v>912706</v>
      </c>
      <c r="K10" s="140">
        <v>912706</v>
      </c>
      <c r="L10" s="363">
        <v>973492</v>
      </c>
      <c r="M10" s="363"/>
    </row>
    <row r="11" spans="1:16" x14ac:dyDescent="0.2">
      <c r="A11" s="12">
        <v>5172</v>
      </c>
      <c r="B11" s="69" t="s">
        <v>233</v>
      </c>
      <c r="C11" s="140">
        <v>41378.050000000003</v>
      </c>
      <c r="D11" s="142">
        <v>34572.11</v>
      </c>
      <c r="E11" s="142">
        <v>34401.49</v>
      </c>
      <c r="F11" s="142">
        <v>29550.62</v>
      </c>
      <c r="G11" s="142">
        <v>31957.59</v>
      </c>
      <c r="H11" s="142">
        <v>33882</v>
      </c>
      <c r="I11" s="461">
        <v>40175</v>
      </c>
      <c r="J11" s="364">
        <v>45000</v>
      </c>
      <c r="K11" s="140">
        <v>35819.26</v>
      </c>
      <c r="L11" s="364">
        <v>45000</v>
      </c>
      <c r="M11" s="364"/>
    </row>
    <row r="12" spans="1:16" x14ac:dyDescent="0.2">
      <c r="A12" s="12">
        <v>5173</v>
      </c>
      <c r="B12" s="69" t="s">
        <v>234</v>
      </c>
      <c r="C12" s="140">
        <v>789.92</v>
      </c>
      <c r="D12" s="142">
        <v>1375.17</v>
      </c>
      <c r="E12" s="142"/>
      <c r="F12" s="142"/>
      <c r="G12" s="142">
        <v>4419.51</v>
      </c>
      <c r="H12" s="142">
        <v>6452.9</v>
      </c>
      <c r="I12" s="461">
        <v>12673.77</v>
      </c>
      <c r="J12" s="364">
        <v>10000</v>
      </c>
      <c r="K12" s="140">
        <v>0</v>
      </c>
      <c r="L12" s="364">
        <v>10000</v>
      </c>
      <c r="M12" s="364"/>
    </row>
    <row r="13" spans="1:16" x14ac:dyDescent="0.2">
      <c r="A13" s="12">
        <v>5174</v>
      </c>
      <c r="B13" s="69" t="s">
        <v>235</v>
      </c>
      <c r="C13" s="140">
        <v>872311.05</v>
      </c>
      <c r="D13" s="140">
        <v>808998.23</v>
      </c>
      <c r="E13" s="140">
        <v>827690.49</v>
      </c>
      <c r="F13" s="140">
        <v>837917.94</v>
      </c>
      <c r="G13" s="140">
        <v>898762.32</v>
      </c>
      <c r="H13" s="140">
        <v>992555.93</v>
      </c>
      <c r="I13" s="460">
        <v>1013426.8</v>
      </c>
      <c r="J13" s="363">
        <v>1181000</v>
      </c>
      <c r="K13" s="140">
        <v>564430.65</v>
      </c>
      <c r="L13" s="363">
        <v>1186320</v>
      </c>
      <c r="M13" s="363"/>
    </row>
    <row r="14" spans="1:16" x14ac:dyDescent="0.2">
      <c r="A14" s="12">
        <v>5175</v>
      </c>
      <c r="B14" s="69" t="s">
        <v>236</v>
      </c>
      <c r="C14" s="140">
        <v>15818.97</v>
      </c>
      <c r="D14" s="140">
        <v>14158.12</v>
      </c>
      <c r="E14" s="140">
        <v>12158.54</v>
      </c>
      <c r="F14" s="140">
        <v>13916.38</v>
      </c>
      <c r="G14" s="140">
        <v>14114.32</v>
      </c>
      <c r="H14" s="140">
        <v>14773.5</v>
      </c>
      <c r="I14" s="460">
        <v>15020.46</v>
      </c>
      <c r="J14" s="363">
        <v>17200</v>
      </c>
      <c r="K14" s="140">
        <v>7767.87</v>
      </c>
      <c r="L14" s="363">
        <v>17200</v>
      </c>
      <c r="M14" s="363"/>
    </row>
    <row r="15" spans="1:16" x14ac:dyDescent="0.2">
      <c r="A15" s="12">
        <v>5177</v>
      </c>
      <c r="B15" s="69" t="s">
        <v>237</v>
      </c>
      <c r="C15" s="263">
        <v>40990.46</v>
      </c>
      <c r="D15" s="263">
        <v>44116.78</v>
      </c>
      <c r="E15" s="263">
        <v>47581.79</v>
      </c>
      <c r="F15" s="263">
        <v>50108.41</v>
      </c>
      <c r="G15" s="263">
        <v>53564.43</v>
      </c>
      <c r="H15" s="263">
        <v>55523.24</v>
      </c>
      <c r="I15" s="804">
        <v>58672.800000000003</v>
      </c>
      <c r="J15" s="308">
        <v>60000</v>
      </c>
      <c r="K15" s="263">
        <v>31915.35</v>
      </c>
      <c r="L15" s="308">
        <v>64000</v>
      </c>
      <c r="M15" s="308"/>
    </row>
    <row r="16" spans="1:16" ht="13.5" thickBot="1" x14ac:dyDescent="0.25">
      <c r="A16" s="12">
        <v>5179</v>
      </c>
      <c r="B16" s="69" t="s">
        <v>709</v>
      </c>
      <c r="C16" s="141">
        <v>97.96</v>
      </c>
      <c r="D16" s="16">
        <v>225.66</v>
      </c>
      <c r="E16" s="16">
        <v>145.66</v>
      </c>
      <c r="F16" s="16">
        <v>129.02000000000001</v>
      </c>
      <c r="G16" s="16"/>
      <c r="H16" s="16"/>
      <c r="I16" s="349"/>
      <c r="J16" s="133"/>
      <c r="K16" s="141"/>
      <c r="L16" s="133"/>
      <c r="M16" s="133"/>
    </row>
    <row r="17" spans="1:17" x14ac:dyDescent="0.2">
      <c r="A17" s="12"/>
      <c r="B17" s="69"/>
      <c r="C17" s="142"/>
      <c r="D17" s="142"/>
      <c r="E17" s="142"/>
      <c r="F17" s="34"/>
      <c r="G17" s="142"/>
      <c r="H17" s="142"/>
      <c r="I17" s="19"/>
      <c r="J17" s="20"/>
      <c r="K17" s="19"/>
      <c r="L17" s="20"/>
      <c r="M17" s="20"/>
    </row>
    <row r="18" spans="1:17" x14ac:dyDescent="0.2">
      <c r="A18" s="12"/>
      <c r="B18" s="70" t="s">
        <v>125</v>
      </c>
      <c r="C18" s="140">
        <f>SUM(C9:C17)</f>
        <v>1760819.2100000002</v>
      </c>
      <c r="D18" s="14">
        <f>SUM(D9:D17)</f>
        <v>1730791.4</v>
      </c>
      <c r="E18" s="14">
        <f>SUM(E9:E17)</f>
        <v>1748594.09</v>
      </c>
      <c r="F18" s="14">
        <f>SUM(F9:F16)</f>
        <v>1789352.1499999997</v>
      </c>
      <c r="G18" s="14">
        <f>SUM(G9:G16)</f>
        <v>1878957.3699999999</v>
      </c>
      <c r="H18" s="14">
        <f>SUM(H9:H16)</f>
        <v>2008426.33</v>
      </c>
      <c r="I18" s="14">
        <f>SUM(I9:I17)</f>
        <v>2068987.7100000002</v>
      </c>
      <c r="J18" s="15">
        <f>SUM(J9:J17)</f>
        <v>2227951</v>
      </c>
      <c r="K18" s="14">
        <f>SUM(K9:K16)</f>
        <v>1552639.1300000004</v>
      </c>
      <c r="L18" s="15">
        <f>SUM(L9:L17)</f>
        <v>2298057</v>
      </c>
      <c r="M18" s="15">
        <f>SUM(M9:M17)</f>
        <v>0</v>
      </c>
    </row>
    <row r="19" spans="1:17" x14ac:dyDescent="0.2">
      <c r="A19" s="12"/>
      <c r="B19" s="13"/>
      <c r="C19" s="14"/>
      <c r="D19" s="14"/>
      <c r="E19" s="14"/>
      <c r="F19" s="14"/>
      <c r="G19" s="14"/>
      <c r="H19" s="14"/>
      <c r="I19" s="14"/>
      <c r="J19" s="15"/>
      <c r="K19" s="14"/>
      <c r="L19" s="15"/>
      <c r="M19" s="15"/>
    </row>
    <row r="20" spans="1:17" ht="13.5" thickBot="1" x14ac:dyDescent="0.25">
      <c r="A20" s="21"/>
      <c r="B20" s="22" t="s">
        <v>321</v>
      </c>
      <c r="C20" s="23">
        <f t="shared" ref="C20:L20" si="0">+C18</f>
        <v>1760819.2100000002</v>
      </c>
      <c r="D20" s="23">
        <f t="shared" si="0"/>
        <v>1730791.4</v>
      </c>
      <c r="E20" s="23">
        <f t="shared" si="0"/>
        <v>1748594.09</v>
      </c>
      <c r="F20" s="23">
        <f>+F18</f>
        <v>1789352.1499999997</v>
      </c>
      <c r="G20" s="23">
        <f>+G18</f>
        <v>1878957.3699999999</v>
      </c>
      <c r="H20" s="23">
        <f>+H18</f>
        <v>2008426.33</v>
      </c>
      <c r="I20" s="23">
        <f t="shared" si="0"/>
        <v>2068987.7100000002</v>
      </c>
      <c r="J20" s="24">
        <f t="shared" ref="J20" si="1">+J18</f>
        <v>2227951</v>
      </c>
      <c r="K20" s="23">
        <f t="shared" si="0"/>
        <v>1552639.1300000004</v>
      </c>
      <c r="L20" s="24">
        <f t="shared" si="0"/>
        <v>2298057</v>
      </c>
      <c r="M20" s="24">
        <f>+L20</f>
        <v>2298057</v>
      </c>
    </row>
    <row r="21" spans="1:17" ht="13.5" thickTop="1" x14ac:dyDescent="0.2">
      <c r="A21" s="4"/>
      <c r="B21" s="4"/>
      <c r="C21" s="26"/>
      <c r="D21" s="26"/>
      <c r="E21" s="26"/>
      <c r="F21" s="26"/>
      <c r="G21" s="26"/>
      <c r="H21" s="26"/>
      <c r="I21" s="26"/>
      <c r="J21" s="26"/>
      <c r="K21" s="27"/>
      <c r="L21" s="26"/>
      <c r="M21" s="25"/>
      <c r="N21" s="27"/>
      <c r="O21" s="27"/>
      <c r="P21" s="27"/>
      <c r="Q21" s="59"/>
    </row>
    <row r="22" spans="1:17" x14ac:dyDescent="0.2">
      <c r="A22" s="72"/>
      <c r="B22" s="4"/>
      <c r="C22" s="26"/>
      <c r="D22" s="26"/>
      <c r="E22" s="26"/>
      <c r="F22" s="26"/>
      <c r="G22" s="26"/>
      <c r="H22" s="26"/>
      <c r="I22" s="26"/>
      <c r="J22" s="26"/>
      <c r="K22" s="27"/>
      <c r="L22" s="26"/>
      <c r="M22" s="25"/>
      <c r="N22" s="27"/>
      <c r="O22" s="27"/>
      <c r="P22" s="27"/>
      <c r="Q22" s="59"/>
    </row>
    <row r="23" spans="1:17" x14ac:dyDescent="0.2">
      <c r="A23" s="72"/>
      <c r="B23" s="4"/>
      <c r="C23" s="26"/>
      <c r="D23" s="26"/>
      <c r="E23" s="26"/>
      <c r="F23" s="26"/>
      <c r="G23" s="26"/>
      <c r="H23" s="26"/>
      <c r="I23" s="26"/>
      <c r="J23" s="26"/>
      <c r="K23" s="27"/>
      <c r="L23" s="26"/>
      <c r="M23" s="25"/>
      <c r="N23" s="27"/>
      <c r="O23" s="27"/>
      <c r="P23" s="27"/>
      <c r="Q23" s="59"/>
    </row>
    <row r="24" spans="1:17" ht="13.5" thickBot="1" x14ac:dyDescent="0.25">
      <c r="A24" s="72"/>
      <c r="B24" s="4"/>
      <c r="C24" s="25"/>
      <c r="D24" s="25"/>
      <c r="E24" s="25"/>
      <c r="F24" s="25"/>
      <c r="G24" s="25"/>
      <c r="H24" s="25"/>
      <c r="I24" s="25"/>
      <c r="J24" s="25"/>
      <c r="K24" s="29"/>
      <c r="L24" s="25"/>
      <c r="M24" s="25"/>
      <c r="N24" s="29"/>
      <c r="O24" s="29"/>
      <c r="P24" s="29"/>
    </row>
    <row r="25" spans="1:17" ht="13.5" thickTop="1" x14ac:dyDescent="0.2">
      <c r="A25" s="517"/>
      <c r="B25" s="518"/>
      <c r="C25" s="519" t="s">
        <v>122</v>
      </c>
      <c r="D25" s="520" t="s">
        <v>122</v>
      </c>
      <c r="E25" s="519" t="s">
        <v>122</v>
      </c>
      <c r="H25" s="521" t="s">
        <v>542</v>
      </c>
      <c r="I25" s="522" t="s">
        <v>9</v>
      </c>
      <c r="J25" s="523" t="s">
        <v>1073</v>
      </c>
      <c r="K25" s="522" t="s">
        <v>682</v>
      </c>
      <c r="L25" s="524"/>
      <c r="M25" s="523"/>
      <c r="N25" s="29"/>
      <c r="O25" s="29"/>
      <c r="P25" s="29"/>
    </row>
    <row r="26" spans="1:17" ht="13.5" thickBot="1" x14ac:dyDescent="0.25">
      <c r="A26" s="525"/>
      <c r="B26" s="526"/>
      <c r="C26" s="580" t="s">
        <v>334</v>
      </c>
      <c r="D26" s="580" t="s">
        <v>718</v>
      </c>
      <c r="E26" s="529" t="s">
        <v>734</v>
      </c>
      <c r="H26" s="529" t="s">
        <v>899</v>
      </c>
      <c r="I26" s="529" t="s">
        <v>900</v>
      </c>
      <c r="J26" s="528" t="s">
        <v>1075</v>
      </c>
      <c r="K26" s="530" t="s">
        <v>1075</v>
      </c>
      <c r="L26" s="531" t="s">
        <v>1074</v>
      </c>
      <c r="M26" s="529"/>
      <c r="N26" s="29"/>
      <c r="O26" s="29"/>
      <c r="P26" s="29"/>
    </row>
    <row r="27" spans="1:17" ht="13.5" thickTop="1" x14ac:dyDescent="0.2">
      <c r="A27" s="548"/>
      <c r="B27" s="549"/>
      <c r="C27" s="586"/>
      <c r="D27" s="586"/>
      <c r="E27" s="586"/>
      <c r="H27" s="587"/>
      <c r="I27" s="586"/>
      <c r="J27" s="572"/>
      <c r="K27" s="586"/>
      <c r="L27" s="582"/>
      <c r="M27" s="588"/>
      <c r="N27" s="27"/>
      <c r="O27" s="27"/>
      <c r="P27" s="27"/>
    </row>
    <row r="28" spans="1:17" x14ac:dyDescent="0.2">
      <c r="A28" s="548">
        <v>5170</v>
      </c>
      <c r="B28" s="573" t="s">
        <v>367</v>
      </c>
      <c r="C28" s="586">
        <v>37150.800000000003</v>
      </c>
      <c r="D28" s="586">
        <v>37644.33</v>
      </c>
      <c r="E28" s="586">
        <v>32019.119999999999</v>
      </c>
      <c r="H28" s="572">
        <f>+J9</f>
        <v>2045</v>
      </c>
      <c r="I28" s="727">
        <f t="shared" ref="I28:I34" si="2">+L9</f>
        <v>2045</v>
      </c>
      <c r="J28" s="572">
        <f t="shared" ref="J28:J34" si="3">+I28-H28</f>
        <v>0</v>
      </c>
      <c r="K28" s="545" t="str">
        <f t="shared" ref="K28:K34" si="4">IF(H28+I28&lt;&gt;0,IF(H28&lt;&gt;0,IF(J28&lt;&gt;0,ROUND((+J28/H28),4),""),1),"")</f>
        <v/>
      </c>
      <c r="L28" s="553"/>
      <c r="M28" s="539"/>
      <c r="N28" s="27"/>
      <c r="O28" s="27"/>
      <c r="P28" s="27"/>
    </row>
    <row r="29" spans="1:17" x14ac:dyDescent="0.2">
      <c r="A29" s="551">
        <v>5171</v>
      </c>
      <c r="B29" s="573" t="s">
        <v>232</v>
      </c>
      <c r="C29" s="589">
        <v>752282</v>
      </c>
      <c r="D29" s="589">
        <v>789701</v>
      </c>
      <c r="E29" s="589">
        <v>794597</v>
      </c>
      <c r="H29" s="572">
        <f t="shared" ref="H29:H34" si="5">+J10</f>
        <v>912706</v>
      </c>
      <c r="I29" s="727">
        <f t="shared" si="2"/>
        <v>973492</v>
      </c>
      <c r="J29" s="572">
        <f t="shared" si="3"/>
        <v>60786</v>
      </c>
      <c r="K29" s="545">
        <f t="shared" si="4"/>
        <v>6.6600000000000006E-2</v>
      </c>
      <c r="L29" s="538"/>
      <c r="M29" s="539"/>
      <c r="N29" s="27"/>
      <c r="O29" s="27"/>
      <c r="P29" s="27"/>
    </row>
    <row r="30" spans="1:17" x14ac:dyDescent="0.2">
      <c r="A30" s="551">
        <v>5172</v>
      </c>
      <c r="B30" s="573" t="s">
        <v>233</v>
      </c>
      <c r="C30" s="589">
        <v>41378.050000000003</v>
      </c>
      <c r="D30" s="586">
        <v>34572.11</v>
      </c>
      <c r="E30" s="586">
        <v>34401.49</v>
      </c>
      <c r="H30" s="572">
        <f t="shared" si="5"/>
        <v>45000</v>
      </c>
      <c r="I30" s="727">
        <f t="shared" si="2"/>
        <v>45000</v>
      </c>
      <c r="J30" s="572">
        <f t="shared" si="3"/>
        <v>0</v>
      </c>
      <c r="K30" s="545" t="str">
        <f t="shared" si="4"/>
        <v/>
      </c>
      <c r="L30" s="553"/>
      <c r="M30" s="572"/>
      <c r="N30" s="29"/>
      <c r="O30" s="29"/>
      <c r="P30" s="29"/>
    </row>
    <row r="31" spans="1:17" x14ac:dyDescent="0.2">
      <c r="A31" s="551">
        <v>5173</v>
      </c>
      <c r="B31" s="573" t="s">
        <v>234</v>
      </c>
      <c r="C31" s="589">
        <v>789.92</v>
      </c>
      <c r="D31" s="586">
        <v>1375.17</v>
      </c>
      <c r="E31" s="586"/>
      <c r="H31" s="572">
        <f t="shared" si="5"/>
        <v>10000</v>
      </c>
      <c r="I31" s="727">
        <f t="shared" si="2"/>
        <v>10000</v>
      </c>
      <c r="J31" s="572">
        <f t="shared" si="3"/>
        <v>0</v>
      </c>
      <c r="K31" s="545" t="str">
        <f t="shared" si="4"/>
        <v/>
      </c>
      <c r="L31" s="553"/>
      <c r="M31" s="572"/>
      <c r="N31" s="29"/>
      <c r="O31" s="29"/>
      <c r="P31" s="29"/>
    </row>
    <row r="32" spans="1:17" x14ac:dyDescent="0.2">
      <c r="A32" s="551">
        <v>5174</v>
      </c>
      <c r="B32" s="573" t="s">
        <v>235</v>
      </c>
      <c r="C32" s="589">
        <v>872311.05</v>
      </c>
      <c r="D32" s="589">
        <v>808998.23</v>
      </c>
      <c r="E32" s="589">
        <v>827690.49</v>
      </c>
      <c r="H32" s="572">
        <f t="shared" si="5"/>
        <v>1181000</v>
      </c>
      <c r="I32" s="727">
        <f t="shared" si="2"/>
        <v>1186320</v>
      </c>
      <c r="J32" s="572">
        <f t="shared" si="3"/>
        <v>5320</v>
      </c>
      <c r="K32" s="545">
        <f t="shared" si="4"/>
        <v>4.4999999999999997E-3</v>
      </c>
      <c r="L32" s="538" t="s">
        <v>1266</v>
      </c>
      <c r="M32" s="539"/>
      <c r="N32" s="29"/>
      <c r="O32" s="29"/>
      <c r="P32" s="29"/>
    </row>
    <row r="33" spans="1:16" x14ac:dyDescent="0.2">
      <c r="A33" s="551">
        <v>5175</v>
      </c>
      <c r="B33" s="573" t="s">
        <v>236</v>
      </c>
      <c r="C33" s="589">
        <v>15818.97</v>
      </c>
      <c r="D33" s="589">
        <v>14158.12</v>
      </c>
      <c r="E33" s="589">
        <v>12158.54</v>
      </c>
      <c r="H33" s="572">
        <f t="shared" si="5"/>
        <v>17200</v>
      </c>
      <c r="I33" s="727">
        <f t="shared" si="2"/>
        <v>17200</v>
      </c>
      <c r="J33" s="572">
        <f t="shared" si="3"/>
        <v>0</v>
      </c>
      <c r="K33" s="545" t="str">
        <f t="shared" si="4"/>
        <v/>
      </c>
      <c r="L33" s="538"/>
      <c r="M33" s="539"/>
      <c r="N33" s="29"/>
      <c r="O33" s="29"/>
      <c r="P33" s="29"/>
    </row>
    <row r="34" spans="1:16" x14ac:dyDescent="0.2">
      <c r="A34" s="551">
        <v>5177</v>
      </c>
      <c r="B34" s="573" t="s">
        <v>237</v>
      </c>
      <c r="C34" s="590">
        <v>40990.46</v>
      </c>
      <c r="D34" s="590">
        <v>44116.78</v>
      </c>
      <c r="E34" s="590">
        <v>47581.79</v>
      </c>
      <c r="H34" s="572">
        <f t="shared" si="5"/>
        <v>60000</v>
      </c>
      <c r="I34" s="592">
        <f t="shared" si="2"/>
        <v>64000</v>
      </c>
      <c r="J34" s="539">
        <f t="shared" si="3"/>
        <v>4000</v>
      </c>
      <c r="K34" s="545">
        <f t="shared" si="4"/>
        <v>6.6699999999999995E-2</v>
      </c>
      <c r="L34" s="538" t="s">
        <v>1484</v>
      </c>
      <c r="M34" s="539"/>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t="s">
        <v>1600</v>
      </c>
      <c r="C36" s="25"/>
      <c r="D36" s="25"/>
      <c r="E36" s="25"/>
      <c r="F36" s="25"/>
      <c r="G36" s="25"/>
      <c r="H36" s="849">
        <f>SUM(H27:H35)</f>
        <v>2227951</v>
      </c>
      <c r="I36" s="849">
        <f>SUM(I27:I35)</f>
        <v>2298057</v>
      </c>
      <c r="J36" s="208">
        <f t="shared" ref="J36" si="6">+I36-H36</f>
        <v>70106</v>
      </c>
      <c r="K36" s="850">
        <f t="shared" ref="K36" si="7">IF(H36+I36&lt;&gt;0,IF(H36&lt;&gt;0,IF(J36&lt;&gt;0,ROUND((+J36/H36),4),""),1),"")</f>
        <v>3.15E-2</v>
      </c>
      <c r="L36" s="25"/>
      <c r="M36" s="25"/>
      <c r="N36" s="29"/>
      <c r="O36" s="29"/>
      <c r="P36" s="29"/>
    </row>
    <row r="37" spans="1:16" x14ac:dyDescent="0.2">
      <c r="A37" s="4"/>
      <c r="B37" s="4"/>
      <c r="C37" s="25"/>
      <c r="D37" s="25"/>
      <c r="E37" s="25"/>
      <c r="F37" s="25"/>
      <c r="G37" s="25"/>
      <c r="H37" s="25"/>
      <c r="I37" s="25"/>
      <c r="J37" s="25"/>
      <c r="K37" s="25"/>
      <c r="L37" s="25"/>
      <c r="M37" s="25"/>
      <c r="N37" s="25"/>
      <c r="O37" s="25"/>
      <c r="P37" s="25"/>
    </row>
    <row r="38" spans="1:16" x14ac:dyDescent="0.2">
      <c r="A38" s="4"/>
      <c r="B38" s="4"/>
      <c r="C38" s="25"/>
      <c r="D38" s="25"/>
      <c r="E38" s="25"/>
      <c r="F38" s="25"/>
      <c r="G38" s="25"/>
      <c r="H38" s="25"/>
      <c r="I38" s="25"/>
      <c r="J38" s="25"/>
      <c r="K38" s="25"/>
      <c r="L38" s="25"/>
      <c r="M38" s="25"/>
      <c r="N38" s="25"/>
      <c r="O38" s="25"/>
      <c r="P38" s="25"/>
    </row>
    <row r="39" spans="1:16" x14ac:dyDescent="0.2">
      <c r="A39" s="4"/>
      <c r="B39" s="4"/>
      <c r="C39" s="25"/>
      <c r="D39" s="25"/>
      <c r="E39" s="25"/>
      <c r="F39" s="25"/>
      <c r="G39" s="25"/>
      <c r="H39" s="25"/>
      <c r="I39" s="25"/>
      <c r="J39" s="25"/>
      <c r="K39" s="25"/>
      <c r="L39" s="25"/>
      <c r="M39" s="25"/>
      <c r="N39" s="25"/>
      <c r="O39" s="25"/>
      <c r="P39" s="25"/>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5"/>
      <c r="L42" s="25"/>
      <c r="M42" s="25"/>
      <c r="N42" s="25"/>
      <c r="O42" s="25"/>
      <c r="P42" s="25"/>
    </row>
    <row r="43" spans="1:16" x14ac:dyDescent="0.2">
      <c r="A43" s="4"/>
      <c r="B43" s="4"/>
      <c r="C43" s="25"/>
      <c r="D43" s="25"/>
      <c r="E43" s="25"/>
      <c r="F43" s="25"/>
      <c r="G43" s="25"/>
      <c r="H43" s="25"/>
      <c r="I43" s="25"/>
      <c r="J43" s="25"/>
      <c r="K43" s="25"/>
      <c r="L43" s="25"/>
      <c r="M43" s="25"/>
      <c r="N43" s="25"/>
      <c r="O43" s="25"/>
      <c r="P43" s="25"/>
    </row>
    <row r="44" spans="1:16" x14ac:dyDescent="0.2">
      <c r="A44" s="4"/>
      <c r="B44" s="4"/>
      <c r="C44" s="121"/>
    </row>
    <row r="45" spans="1:16" x14ac:dyDescent="0.2">
      <c r="A45" s="4"/>
      <c r="B45" s="4"/>
      <c r="C45" s="25"/>
      <c r="D45" s="25"/>
      <c r="E45" s="25"/>
      <c r="F45" s="25"/>
      <c r="G45" s="25"/>
      <c r="H45" s="25"/>
      <c r="I45" s="25"/>
      <c r="J45" s="25"/>
      <c r="K45" s="25"/>
      <c r="L45" s="25"/>
      <c r="M45" s="25"/>
      <c r="N45" s="25"/>
      <c r="O45" s="25"/>
      <c r="P45" s="25"/>
    </row>
    <row r="46" spans="1:16" x14ac:dyDescent="0.2">
      <c r="A46" s="4"/>
      <c r="B46" s="4"/>
      <c r="C46" s="25"/>
      <c r="D46" s="25"/>
      <c r="E46" s="25"/>
      <c r="F46" s="25"/>
      <c r="G46" s="25"/>
      <c r="H46" s="25"/>
      <c r="I46" s="25"/>
      <c r="J46" s="25"/>
      <c r="K46" s="25"/>
      <c r="L46" s="25"/>
      <c r="M46" s="25"/>
      <c r="N46" s="25"/>
      <c r="O46" s="25"/>
      <c r="P46" s="25"/>
    </row>
    <row r="47" spans="1:16" x14ac:dyDescent="0.2">
      <c r="A47" s="4"/>
      <c r="B47" s="4"/>
      <c r="C47" s="25"/>
      <c r="D47" s="25"/>
      <c r="E47" s="25"/>
      <c r="F47" s="25"/>
      <c r="G47" s="25"/>
      <c r="H47" s="25"/>
      <c r="I47" s="25"/>
      <c r="J47" s="25"/>
      <c r="K47" s="25"/>
      <c r="L47" s="25"/>
      <c r="M47" s="25"/>
      <c r="N47" s="25"/>
      <c r="O47" s="25"/>
      <c r="P47" s="25"/>
    </row>
    <row r="48" spans="1:16" x14ac:dyDescent="0.2">
      <c r="A48" s="4"/>
      <c r="B48" s="4"/>
      <c r="C48" s="25"/>
      <c r="D48" s="25"/>
      <c r="E48" s="25"/>
      <c r="F48" s="25"/>
      <c r="G48" s="25"/>
      <c r="H48" s="25"/>
      <c r="I48" s="25"/>
      <c r="J48" s="25"/>
      <c r="K48" s="25"/>
      <c r="L48" s="25"/>
      <c r="M48" s="25"/>
      <c r="N48" s="25"/>
      <c r="O48" s="25"/>
      <c r="P48" s="25"/>
    </row>
    <row r="49" spans="1:16" x14ac:dyDescent="0.2">
      <c r="A49" s="4"/>
      <c r="B49" s="4"/>
      <c r="C49" s="25"/>
      <c r="D49" s="25"/>
      <c r="E49" s="25"/>
      <c r="F49" s="25"/>
      <c r="G49" s="25"/>
      <c r="H49" s="25"/>
      <c r="I49" s="25"/>
      <c r="J49" s="25"/>
      <c r="K49" s="25"/>
      <c r="L49" s="25"/>
      <c r="M49" s="25"/>
      <c r="N49" s="25"/>
      <c r="O49" s="25"/>
      <c r="P49" s="25"/>
    </row>
    <row r="50" spans="1:16" x14ac:dyDescent="0.2">
      <c r="A50" s="4"/>
      <c r="B50" s="4"/>
      <c r="C50" s="25"/>
      <c r="D50" s="25"/>
      <c r="E50" s="25"/>
      <c r="F50" s="25"/>
      <c r="G50" s="25"/>
      <c r="H50" s="25"/>
      <c r="I50" s="25"/>
      <c r="J50" s="25"/>
      <c r="K50" s="25"/>
      <c r="L50" s="25"/>
      <c r="M50" s="25"/>
      <c r="N50" s="25"/>
      <c r="O50" s="25"/>
      <c r="P50" s="25"/>
    </row>
    <row r="51" spans="1:16" x14ac:dyDescent="0.2">
      <c r="A51" s="4"/>
      <c r="B51" s="4"/>
      <c r="C51" s="25"/>
      <c r="D51" s="25"/>
      <c r="E51" s="25"/>
      <c r="F51" s="25"/>
      <c r="G51" s="25"/>
      <c r="H51" s="25"/>
      <c r="I51" s="25"/>
      <c r="J51" s="25"/>
      <c r="K51" s="29"/>
      <c r="L51" s="25"/>
      <c r="M51" s="25"/>
      <c r="N51" s="29"/>
      <c r="O51" s="29"/>
      <c r="P51" s="29"/>
    </row>
    <row r="52" spans="1:16" x14ac:dyDescent="0.2">
      <c r="A52" s="4"/>
      <c r="B52" s="4"/>
      <c r="C52" s="25"/>
      <c r="D52" s="25"/>
      <c r="E52" s="25"/>
      <c r="F52" s="25"/>
      <c r="G52" s="25"/>
      <c r="H52" s="25"/>
      <c r="I52" s="25"/>
      <c r="J52" s="25"/>
      <c r="K52" s="29"/>
      <c r="L52" s="25"/>
      <c r="M52" s="25"/>
      <c r="N52" s="29"/>
      <c r="O52" s="29"/>
      <c r="P52" s="29"/>
    </row>
    <row r="53" spans="1:16" x14ac:dyDescent="0.2">
      <c r="A53" s="4"/>
      <c r="B53" s="4"/>
      <c r="C53" s="25"/>
      <c r="D53" s="25"/>
      <c r="E53" s="25"/>
      <c r="F53" s="25"/>
      <c r="G53" s="25"/>
      <c r="H53" s="25"/>
      <c r="I53" s="25"/>
      <c r="J53" s="25"/>
      <c r="K53" s="25"/>
      <c r="L53" s="25"/>
      <c r="M53" s="25"/>
      <c r="N53" s="25"/>
      <c r="O53" s="25"/>
      <c r="P53" s="25"/>
    </row>
    <row r="54" spans="1:16" x14ac:dyDescent="0.2">
      <c r="A54" s="4"/>
      <c r="B54" s="4"/>
      <c r="C54" s="25"/>
      <c r="D54" s="25"/>
      <c r="E54" s="25"/>
      <c r="F54" s="25"/>
      <c r="G54" s="25"/>
      <c r="H54" s="25"/>
      <c r="I54" s="25"/>
      <c r="J54" s="25"/>
      <c r="K54" s="25"/>
      <c r="L54" s="25"/>
      <c r="M54" s="25"/>
      <c r="N54" s="25"/>
      <c r="O54" s="25"/>
      <c r="P54" s="25"/>
    </row>
    <row r="55" spans="1:16" x14ac:dyDescent="0.2">
      <c r="A55" s="4"/>
      <c r="B55" s="4"/>
      <c r="C55" s="121"/>
    </row>
    <row r="56" spans="1:16" x14ac:dyDescent="0.2">
      <c r="A56" s="4"/>
      <c r="B56" s="4"/>
      <c r="C56" s="25"/>
      <c r="D56" s="25"/>
      <c r="E56" s="25"/>
      <c r="F56" s="25"/>
      <c r="G56" s="25"/>
      <c r="H56" s="25"/>
      <c r="I56" s="25"/>
      <c r="J56" s="25"/>
      <c r="K56" s="25"/>
      <c r="L56" s="25"/>
      <c r="M56" s="25"/>
      <c r="N56" s="25"/>
      <c r="O56" s="25"/>
      <c r="P56" s="25"/>
    </row>
    <row r="57" spans="1:16" x14ac:dyDescent="0.2">
      <c r="A57" s="4"/>
      <c r="B57" s="4"/>
      <c r="C57" s="25"/>
      <c r="D57" s="25"/>
      <c r="E57" s="25"/>
      <c r="F57" s="25"/>
      <c r="G57" s="25"/>
      <c r="H57" s="25"/>
      <c r="I57" s="25"/>
      <c r="J57" s="25"/>
      <c r="K57" s="25"/>
      <c r="L57" s="25"/>
      <c r="M57" s="25"/>
      <c r="N57" s="25"/>
      <c r="O57" s="25"/>
      <c r="P57" s="25"/>
    </row>
    <row r="58" spans="1:16" x14ac:dyDescent="0.2">
      <c r="A58" s="4"/>
      <c r="B58" s="4"/>
      <c r="C58" s="25"/>
      <c r="D58" s="25"/>
      <c r="E58" s="25"/>
      <c r="F58" s="25"/>
      <c r="G58" s="25"/>
      <c r="H58" s="25"/>
      <c r="I58" s="25"/>
      <c r="J58" s="25"/>
      <c r="K58" s="25"/>
      <c r="L58" s="25"/>
      <c r="M58" s="25"/>
      <c r="N58" s="25"/>
      <c r="O58" s="25"/>
      <c r="P58" s="25"/>
    </row>
    <row r="59" spans="1:16" x14ac:dyDescent="0.2">
      <c r="A59" s="4"/>
      <c r="B59" s="4"/>
      <c r="C59" s="25"/>
      <c r="D59" s="25"/>
      <c r="E59" s="25"/>
      <c r="F59" s="25"/>
      <c r="G59" s="25"/>
      <c r="H59" s="25"/>
      <c r="I59" s="25"/>
      <c r="J59" s="25"/>
      <c r="K59" s="25"/>
      <c r="L59" s="25"/>
      <c r="M59" s="25"/>
      <c r="N59" s="25"/>
      <c r="O59" s="25"/>
      <c r="P59" s="25"/>
    </row>
    <row r="60" spans="1:16" x14ac:dyDescent="0.2">
      <c r="A60" s="4"/>
      <c r="B60" s="4"/>
      <c r="C60" s="25"/>
      <c r="D60" s="25"/>
      <c r="E60" s="25"/>
      <c r="F60" s="25"/>
      <c r="G60" s="25"/>
      <c r="H60" s="25"/>
      <c r="I60" s="25"/>
      <c r="J60" s="25"/>
      <c r="K60" s="25"/>
      <c r="L60" s="25"/>
      <c r="M60" s="25"/>
      <c r="N60" s="25"/>
      <c r="O60" s="25"/>
      <c r="P60" s="25"/>
    </row>
    <row r="61" spans="1:16" x14ac:dyDescent="0.2">
      <c r="A61" s="4"/>
      <c r="B61" s="4"/>
      <c r="C61" s="25"/>
      <c r="D61" s="25"/>
      <c r="E61" s="25"/>
      <c r="F61" s="25"/>
      <c r="G61" s="25"/>
      <c r="H61" s="25"/>
      <c r="I61" s="25"/>
      <c r="J61" s="25"/>
      <c r="K61" s="25"/>
      <c r="L61" s="25"/>
      <c r="M61" s="25"/>
      <c r="N61" s="25"/>
      <c r="O61" s="25"/>
      <c r="P61" s="25"/>
    </row>
    <row r="62" spans="1:16" x14ac:dyDescent="0.2">
      <c r="A62" s="4"/>
      <c r="B62" s="4"/>
      <c r="C62" s="25"/>
      <c r="D62" s="25"/>
      <c r="E62" s="25"/>
      <c r="F62" s="25"/>
      <c r="G62" s="25"/>
      <c r="H62" s="25"/>
      <c r="I62" s="25"/>
      <c r="J62" s="25"/>
      <c r="K62" s="29"/>
      <c r="L62" s="25"/>
      <c r="M62" s="25"/>
      <c r="N62" s="29"/>
      <c r="O62" s="29"/>
      <c r="P62" s="29"/>
    </row>
    <row r="63" spans="1:16" x14ac:dyDescent="0.2">
      <c r="A63" s="4"/>
      <c r="B63" s="4"/>
      <c r="C63" s="25"/>
      <c r="D63" s="25"/>
      <c r="E63" s="25"/>
      <c r="F63" s="25"/>
      <c r="G63" s="25"/>
      <c r="H63" s="25"/>
      <c r="I63" s="25"/>
      <c r="J63" s="25"/>
      <c r="K63" s="29"/>
      <c r="L63" s="25"/>
      <c r="M63" s="25"/>
      <c r="N63" s="29"/>
      <c r="O63" s="29"/>
      <c r="P63" s="29"/>
    </row>
    <row r="64" spans="1:16" x14ac:dyDescent="0.2">
      <c r="A64" s="4"/>
      <c r="B64" s="4"/>
      <c r="C64" s="25"/>
      <c r="D64" s="25"/>
      <c r="E64" s="25"/>
      <c r="F64" s="25"/>
      <c r="G64" s="25"/>
      <c r="H64" s="25"/>
      <c r="I64" s="25"/>
      <c r="J64" s="25"/>
      <c r="K64" s="29"/>
      <c r="L64" s="25"/>
      <c r="M64" s="25"/>
      <c r="N64" s="29"/>
      <c r="O64" s="29"/>
      <c r="P64" s="29"/>
    </row>
    <row r="65" spans="1:16" x14ac:dyDescent="0.2">
      <c r="A65" s="4"/>
      <c r="B65" s="4"/>
      <c r="C65" s="25"/>
      <c r="D65" s="25"/>
      <c r="E65" s="25"/>
      <c r="F65" s="25"/>
      <c r="G65" s="25"/>
      <c r="H65" s="25"/>
      <c r="I65" s="25"/>
      <c r="J65" s="25"/>
      <c r="K65" s="29"/>
      <c r="L65" s="25"/>
      <c r="M65" s="25"/>
      <c r="N65" s="29"/>
      <c r="O65" s="29"/>
      <c r="P65" s="29"/>
    </row>
    <row r="66" spans="1:16" x14ac:dyDescent="0.2">
      <c r="A66" s="4"/>
      <c r="B66" s="4"/>
      <c r="C66" s="25"/>
      <c r="D66" s="25"/>
      <c r="E66" s="25"/>
      <c r="F66" s="25"/>
      <c r="G66" s="25"/>
      <c r="H66" s="25"/>
      <c r="I66" s="25"/>
      <c r="J66" s="25"/>
      <c r="K66" s="29"/>
      <c r="L66" s="25"/>
      <c r="M66" s="25"/>
      <c r="N66" s="29"/>
      <c r="O66" s="29"/>
      <c r="P66" s="29"/>
    </row>
    <row r="67" spans="1:16" x14ac:dyDescent="0.2">
      <c r="A67" s="4"/>
      <c r="B67" s="4"/>
      <c r="C67" s="25"/>
      <c r="D67" s="25"/>
      <c r="E67" s="25"/>
      <c r="F67" s="25"/>
      <c r="G67" s="25"/>
      <c r="H67" s="25"/>
      <c r="I67" s="25"/>
      <c r="J67" s="25"/>
      <c r="K67" s="29"/>
      <c r="L67" s="25"/>
      <c r="M67" s="25"/>
      <c r="N67" s="29"/>
      <c r="O67" s="29"/>
      <c r="P67" s="29"/>
    </row>
    <row r="68" spans="1:16" x14ac:dyDescent="0.2">
      <c r="A68" s="4"/>
      <c r="B68" s="4"/>
      <c r="C68" s="25"/>
      <c r="D68" s="25"/>
      <c r="E68" s="25"/>
      <c r="F68" s="25"/>
      <c r="G68" s="25"/>
      <c r="H68" s="25"/>
      <c r="I68" s="25"/>
      <c r="J68" s="25"/>
      <c r="K68" s="29"/>
      <c r="L68" s="25"/>
      <c r="M68" s="25"/>
      <c r="N68" s="29"/>
      <c r="O68" s="29"/>
      <c r="P68" s="29"/>
    </row>
    <row r="69" spans="1:16" x14ac:dyDescent="0.2">
      <c r="A69" s="4"/>
      <c r="B69" s="4"/>
      <c r="C69" s="25"/>
      <c r="D69" s="25"/>
      <c r="E69" s="25"/>
      <c r="F69" s="25"/>
      <c r="G69" s="25"/>
      <c r="H69" s="25"/>
      <c r="I69" s="25"/>
      <c r="J69" s="25"/>
      <c r="K69" s="29"/>
      <c r="L69" s="25"/>
      <c r="M69" s="25"/>
      <c r="N69" s="29"/>
      <c r="O69" s="29"/>
      <c r="P69" s="29"/>
    </row>
    <row r="70" spans="1:16" x14ac:dyDescent="0.2">
      <c r="A70" s="4"/>
      <c r="B70" s="4"/>
      <c r="C70" s="25"/>
      <c r="D70" s="25"/>
      <c r="E70" s="25"/>
      <c r="F70" s="25"/>
      <c r="G70" s="25"/>
      <c r="H70" s="25"/>
      <c r="I70" s="25"/>
      <c r="J70" s="25"/>
      <c r="K70" s="29"/>
      <c r="L70" s="25"/>
      <c r="M70" s="25"/>
      <c r="N70" s="29"/>
      <c r="O70" s="29"/>
      <c r="P70" s="29"/>
    </row>
    <row r="71" spans="1:16" x14ac:dyDescent="0.2">
      <c r="A71" s="4"/>
      <c r="B71" s="4"/>
      <c r="C71" s="25"/>
      <c r="D71" s="25"/>
      <c r="E71" s="25"/>
      <c r="F71" s="25"/>
      <c r="G71" s="25"/>
      <c r="H71" s="25"/>
      <c r="I71" s="25"/>
      <c r="J71" s="25"/>
      <c r="K71" s="29"/>
      <c r="L71" s="25"/>
      <c r="M71" s="25"/>
      <c r="N71" s="29"/>
      <c r="O71" s="29"/>
      <c r="P71" s="29"/>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A123" s="4"/>
      <c r="B123" s="4"/>
      <c r="C123" s="25"/>
      <c r="D123" s="25"/>
      <c r="E123" s="25"/>
      <c r="F123" s="25"/>
      <c r="G123" s="25"/>
      <c r="H123" s="25"/>
      <c r="I123" s="25"/>
      <c r="J123" s="25"/>
      <c r="K123" s="4"/>
      <c r="L123" s="25"/>
      <c r="M123" s="25"/>
      <c r="N123" s="4"/>
      <c r="O123" s="4"/>
      <c r="P123" s="4"/>
    </row>
    <row r="124" spans="1:16" x14ac:dyDescent="0.2">
      <c r="A124" s="4"/>
      <c r="B124" s="4"/>
      <c r="C124" s="25"/>
      <c r="D124" s="25"/>
      <c r="E124" s="25"/>
      <c r="F124" s="25"/>
      <c r="G124" s="25"/>
      <c r="H124" s="25"/>
      <c r="I124" s="25"/>
      <c r="J124" s="25"/>
      <c r="K124" s="4"/>
      <c r="L124" s="25"/>
      <c r="M124" s="25"/>
      <c r="N124" s="4"/>
      <c r="O124" s="4"/>
      <c r="P124" s="4"/>
    </row>
    <row r="125" spans="1:16" x14ac:dyDescent="0.2">
      <c r="A125" s="4"/>
      <c r="B125" s="4"/>
      <c r="C125" s="25"/>
      <c r="D125" s="25"/>
      <c r="E125" s="25"/>
      <c r="F125" s="25"/>
      <c r="G125" s="25"/>
      <c r="H125" s="25"/>
      <c r="I125" s="25"/>
      <c r="J125" s="25"/>
      <c r="K125" s="4"/>
      <c r="L125" s="25"/>
      <c r="M125" s="25"/>
      <c r="N125" s="4"/>
      <c r="O125" s="4"/>
      <c r="P125" s="4"/>
    </row>
    <row r="126" spans="1:16" x14ac:dyDescent="0.2">
      <c r="A126" s="4"/>
      <c r="B126" s="4"/>
      <c r="C126" s="25"/>
      <c r="D126" s="25"/>
      <c r="E126" s="25"/>
      <c r="F126" s="25"/>
      <c r="G126" s="25"/>
      <c r="H126" s="25"/>
      <c r="I126" s="25"/>
      <c r="J126" s="25"/>
      <c r="K126" s="4"/>
      <c r="L126" s="25"/>
      <c r="M126" s="25"/>
      <c r="N126" s="4"/>
      <c r="O126" s="4"/>
      <c r="P126" s="4"/>
    </row>
    <row r="127" spans="1:16" x14ac:dyDescent="0.2">
      <c r="A127" s="4"/>
      <c r="B127" s="4"/>
      <c r="C127" s="25"/>
      <c r="D127" s="25"/>
      <c r="E127" s="25"/>
      <c r="F127" s="25"/>
      <c r="G127" s="25"/>
      <c r="H127" s="25"/>
      <c r="I127" s="25"/>
      <c r="J127" s="25"/>
      <c r="K127" s="4"/>
      <c r="L127" s="25"/>
      <c r="M127" s="25"/>
      <c r="N127" s="4"/>
      <c r="O127" s="4"/>
      <c r="P127" s="4"/>
    </row>
    <row r="128" spans="1:16" x14ac:dyDescent="0.2">
      <c r="A128" s="4"/>
      <c r="B128" s="4"/>
      <c r="C128" s="25"/>
      <c r="D128" s="25"/>
      <c r="E128" s="25"/>
      <c r="F128" s="25"/>
      <c r="G128" s="25"/>
      <c r="H128" s="25"/>
      <c r="I128" s="25"/>
      <c r="J128" s="25"/>
      <c r="K128" s="4"/>
      <c r="L128" s="25"/>
      <c r="M128" s="25"/>
      <c r="N128" s="4"/>
      <c r="O128" s="4"/>
      <c r="P128" s="4"/>
    </row>
    <row r="129" spans="1:16" x14ac:dyDescent="0.2">
      <c r="A129" s="4"/>
      <c r="B129" s="4"/>
      <c r="C129" s="25"/>
      <c r="D129" s="25"/>
      <c r="E129" s="25"/>
      <c r="F129" s="25"/>
      <c r="G129" s="25"/>
      <c r="H129" s="25"/>
      <c r="I129" s="25"/>
      <c r="J129" s="25"/>
      <c r="K129" s="4"/>
      <c r="L129" s="25"/>
      <c r="M129" s="25"/>
      <c r="N129" s="4"/>
      <c r="O129" s="4"/>
      <c r="P129" s="4"/>
    </row>
    <row r="130" spans="1:16" x14ac:dyDescent="0.2">
      <c r="A130" s="4"/>
      <c r="B130" s="4"/>
      <c r="C130" s="25"/>
      <c r="D130" s="25"/>
      <c r="E130" s="25"/>
      <c r="F130" s="25"/>
      <c r="G130" s="25"/>
      <c r="H130" s="25"/>
      <c r="I130" s="25"/>
      <c r="J130" s="25"/>
      <c r="K130" s="4"/>
      <c r="L130" s="25"/>
      <c r="M130" s="25"/>
      <c r="N130" s="4"/>
      <c r="O130" s="4"/>
      <c r="P130" s="4"/>
    </row>
    <row r="131" spans="1:16" x14ac:dyDescent="0.2">
      <c r="A131" s="4"/>
      <c r="B131" s="4"/>
      <c r="C131" s="25"/>
      <c r="D131" s="25"/>
      <c r="E131" s="25"/>
      <c r="F131" s="25"/>
      <c r="G131" s="25"/>
      <c r="H131" s="25"/>
      <c r="I131" s="25"/>
      <c r="J131" s="25"/>
      <c r="K131" s="4"/>
      <c r="L131" s="25"/>
      <c r="M131" s="25"/>
      <c r="N131" s="4"/>
      <c r="O131" s="4"/>
      <c r="P131" s="4"/>
    </row>
    <row r="132" spans="1:16" x14ac:dyDescent="0.2">
      <c r="A132" s="4"/>
      <c r="B132" s="4"/>
      <c r="C132" s="25"/>
      <c r="D132" s="25"/>
      <c r="E132" s="25"/>
      <c r="F132" s="25"/>
      <c r="G132" s="25"/>
      <c r="H132" s="25"/>
      <c r="I132" s="25"/>
      <c r="J132" s="25"/>
      <c r="K132" s="4"/>
      <c r="L132" s="25"/>
      <c r="M132" s="25"/>
      <c r="N132" s="4"/>
      <c r="O132" s="4"/>
      <c r="P132" s="4"/>
    </row>
    <row r="133" spans="1:16" x14ac:dyDescent="0.2">
      <c r="A133" s="4"/>
      <c r="B133" s="4"/>
      <c r="C133" s="25"/>
      <c r="D133" s="25"/>
      <c r="E133" s="25"/>
      <c r="F133" s="25"/>
      <c r="G133" s="25"/>
      <c r="H133" s="25"/>
      <c r="I133" s="25"/>
      <c r="J133" s="25"/>
      <c r="K133" s="4"/>
      <c r="L133" s="25"/>
      <c r="M133" s="25"/>
      <c r="N133" s="4"/>
      <c r="O133" s="4"/>
      <c r="P133" s="4"/>
    </row>
    <row r="134" spans="1:16" x14ac:dyDescent="0.2">
      <c r="A134" s="4"/>
      <c r="B134" s="4"/>
      <c r="C134" s="25"/>
      <c r="D134" s="25"/>
      <c r="E134" s="25"/>
      <c r="F134" s="25"/>
      <c r="G134" s="25"/>
      <c r="H134" s="25"/>
      <c r="I134" s="25"/>
      <c r="J134" s="25"/>
      <c r="K134" s="4"/>
      <c r="L134" s="25"/>
      <c r="M134" s="25"/>
      <c r="N134" s="4"/>
      <c r="O134" s="4"/>
      <c r="P134" s="4"/>
    </row>
    <row r="135" spans="1:16" x14ac:dyDescent="0.2">
      <c r="A135" s="4"/>
      <c r="B135" s="4"/>
      <c r="C135" s="25"/>
      <c r="D135" s="25"/>
      <c r="E135" s="25"/>
      <c r="F135" s="25"/>
      <c r="G135" s="25"/>
      <c r="H135" s="25"/>
      <c r="I135" s="25"/>
      <c r="J135" s="25"/>
      <c r="K135" s="4"/>
      <c r="L135" s="25"/>
      <c r="M135" s="25"/>
      <c r="N135" s="4"/>
      <c r="O135" s="4"/>
      <c r="P135" s="4"/>
    </row>
    <row r="136" spans="1:16" x14ac:dyDescent="0.2">
      <c r="C136" s="121"/>
    </row>
    <row r="137" spans="1:16" x14ac:dyDescent="0.2">
      <c r="C137" s="121"/>
    </row>
    <row r="138" spans="1:16" x14ac:dyDescent="0.2">
      <c r="C138" s="121"/>
    </row>
    <row r="139" spans="1:16" x14ac:dyDescent="0.2">
      <c r="C139" s="121"/>
    </row>
    <row r="140" spans="1:16" x14ac:dyDescent="0.2">
      <c r="C140" s="121"/>
    </row>
    <row r="141" spans="1:16" x14ac:dyDescent="0.2">
      <c r="C141" s="121"/>
    </row>
    <row r="142" spans="1:16" x14ac:dyDescent="0.2">
      <c r="C142" s="121"/>
    </row>
    <row r="143" spans="1:16" x14ac:dyDescent="0.2">
      <c r="C143" s="121"/>
    </row>
    <row r="144" spans="1:16"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sheetData>
  <phoneticPr fontId="0" type="noConversion"/>
  <hyperlinks>
    <hyperlink ref="A1" location="'Working Budget with funding det'!A1" display="Main "/>
    <hyperlink ref="B1" location="'Table of Contents'!A1" display="TOC"/>
  </hyperlinks>
  <pageMargins left="0.75" right="0.75" top="1" bottom="1" header="0.5" footer="0.5"/>
  <pageSetup scale="94" fitToHeight="2" orientation="landscape" horizontalDpi="300" verticalDpi="300" r:id="rId1"/>
  <headerFooter alignWithMargins="0">
    <oddFooter>&amp;L&amp;D     &amp;T&amp;C&amp;F&amp;R&amp;A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4"/>
  <sheetViews>
    <sheetView zoomScale="85" workbookViewId="0">
      <selection activeCell="B33" sqref="B33:B34"/>
    </sheetView>
  </sheetViews>
  <sheetFormatPr defaultRowHeight="12.75" x14ac:dyDescent="0.2"/>
  <cols>
    <col min="1" max="1" width="9.5" bestFit="1" customWidth="1"/>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262</v>
      </c>
      <c r="B2" s="49"/>
      <c r="E2" s="153"/>
      <c r="H2" s="153" t="s">
        <v>252</v>
      </c>
      <c r="I2" s="153"/>
      <c r="J2" s="153"/>
      <c r="K2" s="67" t="s">
        <v>322</v>
      </c>
      <c r="M2" s="50" t="s">
        <v>501</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94"/>
      <c r="F5" s="94"/>
      <c r="G5" s="94"/>
      <c r="H5" s="120"/>
      <c r="I5" s="318"/>
      <c r="J5" s="318"/>
      <c r="K5" s="120" t="s">
        <v>509</v>
      </c>
      <c r="L5" s="95" t="s">
        <v>7</v>
      </c>
      <c r="M5" s="209" t="s">
        <v>783</v>
      </c>
    </row>
    <row r="6" spans="1:16" x14ac:dyDescent="0.2">
      <c r="A6" s="93"/>
      <c r="B6" s="216"/>
      <c r="C6" s="137"/>
      <c r="D6" s="137"/>
      <c r="E6" s="137"/>
      <c r="F6" s="137"/>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20"/>
      <c r="J8" s="20"/>
      <c r="K8" s="19"/>
      <c r="L8" s="20"/>
      <c r="M8" s="20"/>
    </row>
    <row r="9" spans="1:16" x14ac:dyDescent="0.2">
      <c r="A9" s="30">
        <v>5740</v>
      </c>
      <c r="B9" s="117" t="s">
        <v>986</v>
      </c>
      <c r="C9" s="142"/>
      <c r="D9" s="19">
        <v>0</v>
      </c>
      <c r="E9" s="19">
        <v>-3549.82</v>
      </c>
      <c r="F9" s="19">
        <v>84898.93</v>
      </c>
      <c r="G9" s="19">
        <v>87959.99</v>
      </c>
      <c r="H9" s="19">
        <v>95065.72</v>
      </c>
      <c r="I9" s="19">
        <v>85911.72</v>
      </c>
      <c r="J9" s="20">
        <v>93275</v>
      </c>
      <c r="K9" s="14">
        <v>87480.47</v>
      </c>
      <c r="L9" s="20">
        <v>96000</v>
      </c>
      <c r="M9" s="20"/>
    </row>
    <row r="10" spans="1:16" hidden="1" x14ac:dyDescent="0.2">
      <c r="A10" s="12">
        <v>5741</v>
      </c>
      <c r="B10" s="69" t="s">
        <v>371</v>
      </c>
      <c r="C10" s="140">
        <v>21364.2</v>
      </c>
      <c r="D10" s="14">
        <v>15982.01</v>
      </c>
      <c r="E10" s="14">
        <v>42461.2</v>
      </c>
      <c r="F10" s="14"/>
      <c r="G10" s="14"/>
      <c r="H10" s="14"/>
      <c r="I10" s="14"/>
      <c r="J10" s="15"/>
      <c r="K10" s="14"/>
      <c r="L10" s="15"/>
      <c r="M10" s="15"/>
    </row>
    <row r="11" spans="1:16" hidden="1" x14ac:dyDescent="0.2">
      <c r="A11" s="12">
        <v>5742</v>
      </c>
      <c r="B11" s="69" t="s">
        <v>238</v>
      </c>
      <c r="C11" s="140">
        <v>17605.150000000001</v>
      </c>
      <c r="D11" s="14">
        <v>18724.45</v>
      </c>
      <c r="E11" s="14">
        <v>20577.13</v>
      </c>
      <c r="F11" s="14"/>
      <c r="G11" s="14"/>
      <c r="H11" s="14"/>
      <c r="I11" s="14"/>
      <c r="J11" s="15"/>
      <c r="K11" s="14"/>
      <c r="L11" s="15"/>
      <c r="M11" s="15"/>
    </row>
    <row r="12" spans="1:16" hidden="1" x14ac:dyDescent="0.2">
      <c r="A12" s="12">
        <v>5743</v>
      </c>
      <c r="B12" s="69" t="s">
        <v>239</v>
      </c>
      <c r="C12" s="140">
        <v>1000.35</v>
      </c>
      <c r="D12" s="14">
        <v>1005.96</v>
      </c>
      <c r="E12" s="14">
        <v>1030.95</v>
      </c>
      <c r="F12" s="14"/>
      <c r="G12" s="14"/>
      <c r="H12" s="14"/>
      <c r="I12" s="14"/>
      <c r="J12" s="15"/>
      <c r="K12" s="14"/>
      <c r="L12" s="15"/>
      <c r="M12" s="15"/>
    </row>
    <row r="13" spans="1:16" hidden="1" x14ac:dyDescent="0.2">
      <c r="A13" s="12">
        <v>5744</v>
      </c>
      <c r="B13" s="69" t="s">
        <v>764</v>
      </c>
      <c r="C13" s="140"/>
      <c r="D13" s="14">
        <v>12333.31</v>
      </c>
      <c r="E13" s="14"/>
      <c r="F13" s="14"/>
      <c r="G13" s="14"/>
      <c r="H13" s="14"/>
      <c r="I13" s="14"/>
      <c r="J13" s="15"/>
      <c r="K13" s="14"/>
      <c r="L13" s="15"/>
      <c r="M13" s="15"/>
    </row>
    <row r="14" spans="1:16" hidden="1" x14ac:dyDescent="0.2">
      <c r="A14" s="12">
        <v>5745</v>
      </c>
      <c r="B14" s="69" t="s">
        <v>240</v>
      </c>
      <c r="C14" s="140">
        <v>10976.55</v>
      </c>
      <c r="D14" s="14">
        <v>15601.73</v>
      </c>
      <c r="E14" s="14">
        <v>9612.56</v>
      </c>
      <c r="F14" s="14"/>
      <c r="G14" s="14"/>
      <c r="H14" s="14"/>
      <c r="I14" s="14"/>
      <c r="J14" s="15"/>
      <c r="K14" s="14"/>
      <c r="L14" s="15"/>
      <c r="M14" s="15"/>
    </row>
    <row r="15" spans="1:16" hidden="1" x14ac:dyDescent="0.2">
      <c r="A15" s="12">
        <v>5746</v>
      </c>
      <c r="B15" s="69" t="s">
        <v>241</v>
      </c>
      <c r="C15" s="140">
        <v>10922.15</v>
      </c>
      <c r="D15" s="14">
        <v>10661.36</v>
      </c>
      <c r="E15" s="14">
        <v>13409.88</v>
      </c>
      <c r="F15" s="14"/>
      <c r="G15" s="14"/>
      <c r="H15" s="14"/>
      <c r="I15" s="14"/>
      <c r="J15" s="15"/>
      <c r="K15" s="14"/>
      <c r="L15" s="15"/>
      <c r="M15" s="15"/>
    </row>
    <row r="16" spans="1:16" hidden="1" x14ac:dyDescent="0.2">
      <c r="A16" s="12">
        <v>5747</v>
      </c>
      <c r="B16" s="69" t="s">
        <v>723</v>
      </c>
      <c r="C16" s="140">
        <v>1718.45</v>
      </c>
      <c r="D16" s="39">
        <v>1651.46</v>
      </c>
      <c r="E16" s="39">
        <v>1930</v>
      </c>
      <c r="F16" s="39"/>
      <c r="G16" s="39"/>
      <c r="H16" s="39"/>
      <c r="I16" s="39"/>
      <c r="J16" s="40"/>
      <c r="K16" s="39"/>
      <c r="L16" s="40"/>
      <c r="M16" s="40"/>
    </row>
    <row r="17" spans="1:16" hidden="1" x14ac:dyDescent="0.2">
      <c r="A17" s="12">
        <v>5748</v>
      </c>
      <c r="B17" s="69" t="s">
        <v>48</v>
      </c>
      <c r="C17" s="140"/>
      <c r="D17" s="39"/>
      <c r="E17" s="39"/>
      <c r="F17" s="39"/>
      <c r="G17" s="39"/>
      <c r="H17" s="39"/>
      <c r="I17" s="39"/>
      <c r="J17" s="40"/>
      <c r="K17" s="39"/>
      <c r="L17" s="40"/>
      <c r="M17" s="40"/>
    </row>
    <row r="18" spans="1:16" hidden="1" x14ac:dyDescent="0.2">
      <c r="A18" s="12">
        <v>5749</v>
      </c>
      <c r="B18" s="69" t="s">
        <v>765</v>
      </c>
      <c r="C18" s="140"/>
      <c r="D18" s="39">
        <v>5954.75</v>
      </c>
      <c r="E18" s="39">
        <v>5329.71</v>
      </c>
      <c r="F18" s="39"/>
      <c r="G18" s="39"/>
      <c r="H18" s="39"/>
      <c r="I18" s="39"/>
      <c r="J18" s="40"/>
      <c r="K18" s="39"/>
      <c r="L18" s="40"/>
      <c r="M18" s="40"/>
    </row>
    <row r="19" spans="1:16" ht="13.5" thickBot="1" x14ac:dyDescent="0.25">
      <c r="A19" s="272"/>
      <c r="B19" s="252"/>
      <c r="C19" s="41"/>
      <c r="D19" s="16"/>
      <c r="E19" s="16"/>
      <c r="F19" s="16"/>
      <c r="G19" s="16"/>
      <c r="H19" s="16"/>
      <c r="I19" s="16"/>
      <c r="J19" s="17"/>
      <c r="K19" s="16"/>
      <c r="L19" s="17"/>
      <c r="M19" s="17"/>
    </row>
    <row r="20" spans="1:16" x14ac:dyDescent="0.2">
      <c r="A20" s="12"/>
      <c r="B20" s="18" t="s">
        <v>442</v>
      </c>
      <c r="C20" s="19">
        <f t="shared" ref="C20:L20" si="0">SUM(C9:C19)</f>
        <v>63586.85</v>
      </c>
      <c r="D20" s="19">
        <f t="shared" si="0"/>
        <v>81915.03</v>
      </c>
      <c r="E20" s="19">
        <f t="shared" si="0"/>
        <v>90801.61</v>
      </c>
      <c r="F20" s="19">
        <f>SUM(F9:F19)</f>
        <v>84898.93</v>
      </c>
      <c r="G20" s="19">
        <f>SUM(G9:G19)</f>
        <v>87959.99</v>
      </c>
      <c r="H20" s="19">
        <f>SUM(H9:H19)</f>
        <v>95065.72</v>
      </c>
      <c r="I20" s="19">
        <f t="shared" si="0"/>
        <v>85911.72</v>
      </c>
      <c r="J20" s="38">
        <f t="shared" ref="J20" si="1">SUM(J9:J19)</f>
        <v>93275</v>
      </c>
      <c r="K20" s="19">
        <f t="shared" si="0"/>
        <v>87480.47</v>
      </c>
      <c r="L20" s="38">
        <f t="shared" si="0"/>
        <v>96000</v>
      </c>
      <c r="M20" s="38"/>
    </row>
    <row r="21" spans="1:16" x14ac:dyDescent="0.2">
      <c r="A21" s="12"/>
      <c r="B21" s="13"/>
      <c r="C21" s="14"/>
      <c r="D21" s="14"/>
      <c r="E21" s="14"/>
      <c r="F21" s="14"/>
      <c r="G21" s="14"/>
      <c r="H21" s="14"/>
      <c r="I21" s="14"/>
      <c r="J21" s="15"/>
      <c r="K21" s="14"/>
      <c r="L21" s="15"/>
      <c r="M21" s="15"/>
    </row>
    <row r="22" spans="1:16" ht="13.5" thickBot="1" x14ac:dyDescent="0.25">
      <c r="A22" s="21"/>
      <c r="B22" s="22" t="s">
        <v>459</v>
      </c>
      <c r="C22" s="23">
        <f t="shared" ref="C22:L22" si="2">+C20</f>
        <v>63586.85</v>
      </c>
      <c r="D22" s="23">
        <f t="shared" si="2"/>
        <v>81915.03</v>
      </c>
      <c r="E22" s="23">
        <f>+E20</f>
        <v>90801.61</v>
      </c>
      <c r="F22" s="23">
        <f>+F20</f>
        <v>84898.93</v>
      </c>
      <c r="G22" s="23">
        <f>+G20</f>
        <v>87959.99</v>
      </c>
      <c r="H22" s="23">
        <f>+H20</f>
        <v>95065.72</v>
      </c>
      <c r="I22" s="23">
        <f t="shared" si="2"/>
        <v>85911.72</v>
      </c>
      <c r="J22" s="24">
        <f t="shared" ref="J22" si="3">+J20</f>
        <v>93275</v>
      </c>
      <c r="K22" s="23">
        <f t="shared" si="2"/>
        <v>87480.47</v>
      </c>
      <c r="L22" s="24">
        <f t="shared" si="2"/>
        <v>96000</v>
      </c>
      <c r="M22" s="24">
        <f>+L22</f>
        <v>96000</v>
      </c>
    </row>
    <row r="23" spans="1:16" ht="13.5" thickTop="1" x14ac:dyDescent="0.2">
      <c r="A23" s="4"/>
      <c r="B23" s="4"/>
      <c r="C23" s="26"/>
      <c r="D23" s="26"/>
      <c r="E23" s="26"/>
      <c r="F23" s="26"/>
      <c r="G23" s="26"/>
      <c r="H23" s="26"/>
      <c r="I23" s="26"/>
      <c r="J23" s="26"/>
      <c r="K23" s="27"/>
      <c r="L23" s="26"/>
      <c r="M23" s="27"/>
      <c r="O23" s="27"/>
      <c r="P23" s="27"/>
    </row>
    <row r="24" spans="1:16" x14ac:dyDescent="0.2">
      <c r="A24" s="72"/>
      <c r="B24" s="4"/>
      <c r="C24" s="25"/>
      <c r="D24" s="25"/>
      <c r="E24" s="25"/>
      <c r="F24" s="25"/>
      <c r="G24" s="25"/>
      <c r="H24" s="25"/>
      <c r="I24" s="25"/>
      <c r="J24" s="25"/>
      <c r="K24" s="29"/>
      <c r="L24" s="25"/>
      <c r="M24" s="29"/>
      <c r="N24" s="29"/>
      <c r="O24" s="29"/>
      <c r="P24" s="29"/>
    </row>
    <row r="25" spans="1:16" ht="13.5" thickBot="1" x14ac:dyDescent="0.25">
      <c r="A25" s="72"/>
      <c r="B25" s="4"/>
      <c r="C25" s="26"/>
      <c r="D25" s="26"/>
      <c r="E25" s="26"/>
      <c r="F25" s="26"/>
      <c r="G25" s="26"/>
      <c r="H25" s="26"/>
      <c r="I25" s="26"/>
      <c r="J25" s="26"/>
      <c r="K25" s="27"/>
      <c r="L25" s="26"/>
      <c r="M25" s="26"/>
      <c r="N25" s="27"/>
      <c r="O25" s="27"/>
      <c r="P25" s="27"/>
    </row>
    <row r="26" spans="1:16" ht="13.5" thickTop="1" x14ac:dyDescent="0.2">
      <c r="A26" s="517"/>
      <c r="B26" s="518"/>
      <c r="C26" s="519" t="s">
        <v>122</v>
      </c>
      <c r="D26" s="520" t="s">
        <v>122</v>
      </c>
      <c r="E26" s="520" t="s">
        <v>122</v>
      </c>
      <c r="H26" s="521" t="s">
        <v>542</v>
      </c>
      <c r="I26" s="522" t="s">
        <v>9</v>
      </c>
      <c r="J26" s="523" t="s">
        <v>1073</v>
      </c>
      <c r="K26" s="522" t="s">
        <v>682</v>
      </c>
      <c r="L26" s="524"/>
      <c r="M26" s="523"/>
      <c r="N26" s="27"/>
      <c r="O26" s="27"/>
      <c r="P26" s="27"/>
    </row>
    <row r="27" spans="1:16" ht="13.5" thickBot="1" x14ac:dyDescent="0.25">
      <c r="A27" s="525" t="s">
        <v>123</v>
      </c>
      <c r="B27" s="526"/>
      <c r="C27" s="580" t="s">
        <v>334</v>
      </c>
      <c r="D27" s="580" t="s">
        <v>718</v>
      </c>
      <c r="E27" s="529" t="s">
        <v>734</v>
      </c>
      <c r="H27" s="529" t="s">
        <v>899</v>
      </c>
      <c r="I27" s="529" t="s">
        <v>900</v>
      </c>
      <c r="J27" s="528" t="s">
        <v>1075</v>
      </c>
      <c r="K27" s="530" t="s">
        <v>1075</v>
      </c>
      <c r="L27" s="531" t="s">
        <v>1074</v>
      </c>
      <c r="M27" s="529"/>
      <c r="N27" s="27"/>
      <c r="O27" s="27"/>
      <c r="P27" s="27"/>
    </row>
    <row r="28" spans="1:16" ht="14.25" thickTop="1" thickBot="1" x14ac:dyDescent="0.25">
      <c r="A28" s="548"/>
      <c r="B28" s="549"/>
      <c r="C28" s="536"/>
      <c r="D28" s="536"/>
      <c r="E28" s="536"/>
      <c r="H28" s="536"/>
      <c r="I28" s="536"/>
      <c r="J28" s="537"/>
      <c r="K28" s="536"/>
      <c r="L28" s="537"/>
      <c r="M28" s="537"/>
      <c r="N28" s="27"/>
      <c r="O28" s="27"/>
      <c r="P28" s="27"/>
    </row>
    <row r="29" spans="1:16" ht="13.5" thickTop="1" x14ac:dyDescent="0.2">
      <c r="A29" s="548">
        <v>5740</v>
      </c>
      <c r="B29" s="549" t="s">
        <v>986</v>
      </c>
      <c r="C29" s="536"/>
      <c r="D29" s="536">
        <v>0</v>
      </c>
      <c r="E29" s="536">
        <v>-3549.82</v>
      </c>
      <c r="H29" s="852">
        <f>+J9</f>
        <v>93275</v>
      </c>
      <c r="I29" s="568">
        <f>+L9</f>
        <v>96000</v>
      </c>
      <c r="J29" s="537">
        <f>+I29-H29</f>
        <v>2725</v>
      </c>
      <c r="K29" s="545">
        <f>IF(H29+I29&lt;&gt;0,IF(H29&lt;&gt;0,IF(J29&lt;&gt;0,ROUND((+J29/H29),4),""),1),"")</f>
        <v>2.92E-2</v>
      </c>
      <c r="L29" s="582" t="s">
        <v>1594</v>
      </c>
      <c r="M29" s="583"/>
      <c r="N29" s="27"/>
      <c r="O29" s="27"/>
      <c r="P29" s="27"/>
    </row>
    <row r="30" spans="1:16" x14ac:dyDescent="0.2">
      <c r="A30" s="4"/>
      <c r="B30" s="4"/>
      <c r="C30" s="25"/>
      <c r="D30" s="25"/>
      <c r="E30" s="25"/>
      <c r="F30" s="25"/>
      <c r="G30" s="26"/>
      <c r="H30" s="26"/>
      <c r="I30" s="208"/>
      <c r="J30" s="208"/>
      <c r="K30" s="515"/>
      <c r="L30" s="27"/>
      <c r="M30" s="27"/>
      <c r="N30" s="29"/>
      <c r="O30" s="29"/>
      <c r="P30" s="29"/>
    </row>
    <row r="31" spans="1:16" x14ac:dyDescent="0.2">
      <c r="A31" s="4"/>
      <c r="B31" s="4" t="s">
        <v>1600</v>
      </c>
      <c r="C31" s="25"/>
      <c r="D31" s="25"/>
      <c r="E31" s="25"/>
      <c r="F31" s="25"/>
      <c r="G31" s="25"/>
      <c r="H31" s="849">
        <f>SUM(H29:H30)</f>
        <v>93275</v>
      </c>
      <c r="I31" s="849">
        <f>SUM(I29:I30)</f>
        <v>96000</v>
      </c>
      <c r="J31" s="208">
        <f t="shared" ref="J31" si="4">+I31-H31</f>
        <v>2725</v>
      </c>
      <c r="K31" s="850">
        <f t="shared" ref="K31" si="5">IF(H31+I31&lt;&gt;0,IF(H31&lt;&gt;0,IF(J31&lt;&gt;0,ROUND((+J31/H31),4),""),1),"")</f>
        <v>2.92E-2</v>
      </c>
      <c r="L31" s="27"/>
      <c r="M31" s="27"/>
      <c r="N31" s="29"/>
      <c r="O31" s="29"/>
      <c r="P31" s="29"/>
    </row>
    <row r="32" spans="1:16" x14ac:dyDescent="0.2">
      <c r="A32" s="4"/>
      <c r="B32" s="4"/>
      <c r="C32" s="25"/>
      <c r="D32" s="25"/>
      <c r="E32" s="25"/>
      <c r="F32" s="25"/>
      <c r="G32" s="26"/>
      <c r="H32" s="26"/>
      <c r="I32" s="208"/>
      <c r="J32" s="208"/>
      <c r="K32" s="515"/>
      <c r="L32" s="27"/>
      <c r="M32" s="27"/>
      <c r="N32" s="29"/>
      <c r="O32" s="29"/>
      <c r="P32" s="29"/>
    </row>
    <row r="33" spans="1:16" x14ac:dyDescent="0.2">
      <c r="A33" s="4"/>
      <c r="B33" s="4"/>
      <c r="C33" s="25"/>
      <c r="D33" s="25"/>
      <c r="E33" s="25"/>
      <c r="F33" s="25"/>
      <c r="G33" s="26"/>
      <c r="H33" s="26"/>
      <c r="I33" s="26"/>
      <c r="J33" s="26"/>
      <c r="K33" s="27"/>
      <c r="L33" s="26"/>
      <c r="M33" s="26"/>
      <c r="N33" s="29"/>
      <c r="O33" s="29"/>
      <c r="P33" s="29"/>
    </row>
    <row r="34" spans="1:16" x14ac:dyDescent="0.2">
      <c r="A34" s="4"/>
      <c r="B34" s="4"/>
      <c r="C34" s="25"/>
      <c r="D34" s="25"/>
      <c r="E34" s="25"/>
      <c r="F34" s="25"/>
      <c r="G34" s="25"/>
      <c r="H34" s="25"/>
      <c r="I34" s="25"/>
      <c r="J34" s="25"/>
      <c r="K34" s="29"/>
      <c r="L34" s="25"/>
      <c r="M34" s="25"/>
      <c r="N34" s="29"/>
      <c r="O34" s="29"/>
      <c r="P34" s="29"/>
    </row>
    <row r="35" spans="1:16" x14ac:dyDescent="0.2">
      <c r="A35" s="4"/>
      <c r="B35" s="4"/>
      <c r="C35" s="25"/>
      <c r="D35" s="25"/>
      <c r="E35" s="25"/>
      <c r="F35" s="25"/>
      <c r="G35" s="25"/>
      <c r="H35" s="25"/>
      <c r="I35" s="25"/>
      <c r="J35" s="25"/>
      <c r="K35" s="29"/>
      <c r="L35" s="25"/>
      <c r="M35" s="25"/>
      <c r="N35" s="29"/>
      <c r="O35" s="29"/>
      <c r="P35" s="29"/>
    </row>
    <row r="36" spans="1:16" x14ac:dyDescent="0.2">
      <c r="A36" s="4"/>
      <c r="B36" s="4"/>
      <c r="C36" s="25"/>
      <c r="D36" s="25"/>
      <c r="E36" s="25"/>
      <c r="F36" s="25"/>
      <c r="G36" s="25"/>
      <c r="H36" s="25"/>
      <c r="I36" s="25"/>
      <c r="J36" s="25"/>
      <c r="K36" s="29"/>
      <c r="L36" s="25"/>
      <c r="M36" s="25"/>
      <c r="N36" s="29"/>
      <c r="O36" s="29"/>
      <c r="P36" s="29"/>
    </row>
    <row r="37" spans="1:16" x14ac:dyDescent="0.2">
      <c r="A37" s="4"/>
      <c r="B37" s="4"/>
      <c r="C37" s="25"/>
      <c r="D37" s="25"/>
      <c r="E37" s="25"/>
      <c r="F37" s="25"/>
      <c r="G37" s="25"/>
      <c r="H37" s="25"/>
      <c r="I37" s="25"/>
      <c r="J37" s="25"/>
      <c r="K37" s="29"/>
      <c r="L37" s="25"/>
      <c r="M37" s="25"/>
      <c r="N37" s="29"/>
      <c r="O37" s="29"/>
      <c r="P37" s="29"/>
    </row>
    <row r="38" spans="1:16" x14ac:dyDescent="0.2">
      <c r="A38" s="4"/>
      <c r="B38" s="4"/>
      <c r="C38" s="25"/>
      <c r="D38" s="25"/>
      <c r="E38" s="25"/>
      <c r="F38" s="25"/>
      <c r="G38" s="25"/>
      <c r="H38" s="25"/>
      <c r="I38" s="25"/>
      <c r="J38" s="25"/>
      <c r="K38" s="29"/>
      <c r="L38" s="25"/>
      <c r="M38" s="25"/>
      <c r="N38" s="29"/>
      <c r="O38" s="29"/>
      <c r="P38" s="29"/>
    </row>
    <row r="39" spans="1:16" x14ac:dyDescent="0.2">
      <c r="A39" s="4"/>
      <c r="B39" s="4"/>
      <c r="C39" s="25"/>
      <c r="D39" s="25"/>
      <c r="E39" s="25"/>
      <c r="F39" s="25"/>
      <c r="G39" s="25"/>
      <c r="H39" s="25"/>
      <c r="I39" s="25"/>
      <c r="J39" s="25"/>
      <c r="K39" s="29"/>
      <c r="L39" s="25"/>
      <c r="M39" s="25"/>
      <c r="N39" s="29"/>
      <c r="O39" s="29"/>
      <c r="P39" s="29"/>
    </row>
    <row r="40" spans="1:16" x14ac:dyDescent="0.2">
      <c r="A40" s="4"/>
      <c r="B40" s="4"/>
      <c r="C40" s="25"/>
      <c r="D40" s="25"/>
      <c r="E40" s="25"/>
      <c r="F40" s="25"/>
      <c r="G40" s="25"/>
      <c r="H40" s="25"/>
      <c r="I40" s="25"/>
      <c r="J40" s="25"/>
      <c r="K40" s="29"/>
      <c r="L40" s="25"/>
      <c r="M40" s="25"/>
      <c r="N40" s="29"/>
      <c r="O40" s="29"/>
      <c r="P40" s="29"/>
    </row>
    <row r="41" spans="1:16" x14ac:dyDescent="0.2">
      <c r="A41" s="4"/>
      <c r="B41" s="4"/>
      <c r="C41" s="25"/>
      <c r="D41" s="25"/>
      <c r="E41" s="25"/>
      <c r="F41" s="25"/>
      <c r="G41" s="25"/>
      <c r="H41" s="25"/>
      <c r="I41" s="25"/>
      <c r="J41" s="25"/>
      <c r="K41" s="29"/>
      <c r="L41" s="25"/>
      <c r="M41" s="25"/>
      <c r="N41" s="29"/>
      <c r="O41" s="29"/>
      <c r="P41" s="29"/>
    </row>
    <row r="42" spans="1:16" x14ac:dyDescent="0.2">
      <c r="A42" s="4"/>
      <c r="B42" s="4"/>
      <c r="C42" s="25"/>
      <c r="D42" s="25"/>
      <c r="E42" s="25"/>
      <c r="F42" s="25"/>
      <c r="G42" s="25"/>
      <c r="H42" s="25"/>
      <c r="I42" s="25"/>
      <c r="J42" s="25"/>
      <c r="K42" s="29"/>
      <c r="L42" s="25"/>
      <c r="M42" s="25"/>
      <c r="N42" s="29"/>
      <c r="O42" s="29"/>
      <c r="P42" s="29"/>
    </row>
    <row r="43" spans="1:16" x14ac:dyDescent="0.2">
      <c r="A43" s="4"/>
      <c r="B43" s="4"/>
      <c r="C43" s="25"/>
      <c r="D43" s="25"/>
      <c r="E43" s="25"/>
      <c r="F43" s="25"/>
      <c r="G43" s="25"/>
      <c r="H43" s="25"/>
      <c r="I43" s="25"/>
      <c r="J43" s="25"/>
      <c r="K43" s="29"/>
      <c r="L43" s="25"/>
      <c r="M43" s="25"/>
      <c r="N43" s="29"/>
      <c r="O43" s="29"/>
      <c r="P43" s="29"/>
    </row>
    <row r="44" spans="1:16" x14ac:dyDescent="0.2">
      <c r="A44" s="4"/>
      <c r="B44" s="4"/>
      <c r="C44" s="25"/>
      <c r="D44" s="25"/>
      <c r="E44" s="25"/>
      <c r="F44" s="25"/>
      <c r="G44" s="25"/>
      <c r="H44" s="25"/>
      <c r="I44" s="25"/>
      <c r="J44" s="25"/>
      <c r="K44" s="29"/>
      <c r="L44" s="25"/>
      <c r="M44" s="25"/>
      <c r="N44" s="29"/>
      <c r="O44" s="29"/>
      <c r="P44" s="29"/>
    </row>
    <row r="45" spans="1:16" x14ac:dyDescent="0.2">
      <c r="A45" s="4"/>
      <c r="B45" s="4"/>
      <c r="C45" s="25"/>
      <c r="D45" s="25"/>
      <c r="E45" s="25"/>
      <c r="F45" s="25"/>
      <c r="G45" s="25"/>
      <c r="H45" s="25"/>
      <c r="I45" s="25"/>
      <c r="J45" s="25"/>
      <c r="K45" s="29"/>
      <c r="L45" s="25"/>
      <c r="M45" s="25"/>
      <c r="N45" s="29"/>
      <c r="O45" s="29"/>
      <c r="P45" s="29"/>
    </row>
    <row r="46" spans="1:16" x14ac:dyDescent="0.2">
      <c r="A46" s="4"/>
      <c r="B46" s="4"/>
      <c r="C46" s="25"/>
      <c r="D46" s="25"/>
      <c r="E46" s="25"/>
      <c r="F46" s="25"/>
      <c r="G46" s="25"/>
      <c r="H46" s="25"/>
      <c r="I46" s="25"/>
      <c r="J46" s="25"/>
      <c r="K46" s="29"/>
      <c r="L46" s="25"/>
      <c r="M46" s="25"/>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c r="C48" s="25"/>
      <c r="D48" s="25"/>
      <c r="E48" s="25"/>
      <c r="F48" s="25"/>
      <c r="G48" s="25"/>
      <c r="H48" s="25"/>
      <c r="I48" s="25"/>
      <c r="J48" s="25"/>
      <c r="K48" s="29"/>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29"/>
      <c r="L50" s="25"/>
      <c r="M50" s="25"/>
      <c r="N50" s="29"/>
      <c r="O50" s="29"/>
      <c r="P50" s="29"/>
    </row>
    <row r="51" spans="1:16" x14ac:dyDescent="0.2">
      <c r="A51" s="4"/>
      <c r="B51" s="4"/>
      <c r="C51" s="25"/>
      <c r="D51" s="25"/>
      <c r="E51" s="25"/>
      <c r="F51" s="25"/>
      <c r="G51" s="25"/>
      <c r="H51" s="25"/>
      <c r="I51" s="25"/>
      <c r="J51" s="25"/>
      <c r="K51" s="29"/>
      <c r="L51" s="25"/>
      <c r="M51" s="25"/>
      <c r="N51" s="29"/>
      <c r="O51" s="29"/>
      <c r="P51" s="29"/>
    </row>
    <row r="52" spans="1:16" x14ac:dyDescent="0.2">
      <c r="A52" s="4"/>
      <c r="B52" s="4"/>
      <c r="C52" s="25"/>
      <c r="D52" s="25"/>
      <c r="E52" s="25"/>
      <c r="F52" s="25"/>
      <c r="G52" s="25"/>
      <c r="H52" s="25"/>
      <c r="I52" s="25"/>
      <c r="J52" s="25"/>
      <c r="K52" s="29"/>
      <c r="L52" s="25"/>
      <c r="M52" s="25"/>
      <c r="N52" s="29"/>
      <c r="O52" s="29"/>
      <c r="P52" s="29"/>
    </row>
    <row r="53" spans="1:16" x14ac:dyDescent="0.2">
      <c r="A53" s="4"/>
      <c r="B53" s="4"/>
      <c r="C53" s="25"/>
      <c r="D53" s="25"/>
      <c r="E53" s="25"/>
      <c r="F53" s="25"/>
      <c r="G53" s="25"/>
      <c r="H53" s="25"/>
      <c r="I53" s="25"/>
      <c r="J53" s="25"/>
      <c r="K53" s="29"/>
      <c r="L53" s="25"/>
      <c r="M53" s="25"/>
      <c r="N53" s="29"/>
      <c r="O53" s="29"/>
      <c r="P53" s="29"/>
    </row>
    <row r="54" spans="1:16" x14ac:dyDescent="0.2">
      <c r="A54" s="4"/>
      <c r="B54" s="4"/>
      <c r="C54" s="25"/>
      <c r="D54" s="25"/>
      <c r="E54" s="25"/>
      <c r="F54" s="25"/>
      <c r="G54" s="25"/>
      <c r="H54" s="25"/>
      <c r="I54" s="25"/>
      <c r="J54" s="25"/>
      <c r="K54" s="29"/>
      <c r="L54" s="25"/>
      <c r="M54" s="25"/>
      <c r="N54" s="29"/>
      <c r="O54" s="29"/>
      <c r="P54" s="29"/>
    </row>
    <row r="55" spans="1:16" x14ac:dyDescent="0.2">
      <c r="A55" s="4"/>
      <c r="B55" s="4"/>
      <c r="C55" s="25"/>
      <c r="D55" s="25"/>
      <c r="E55" s="25"/>
      <c r="F55" s="25"/>
      <c r="G55" s="25"/>
      <c r="H55" s="25"/>
      <c r="I55" s="25"/>
      <c r="J55" s="25"/>
      <c r="K55" s="29"/>
      <c r="L55" s="25"/>
      <c r="M55" s="25"/>
      <c r="N55" s="29"/>
      <c r="O55" s="29"/>
      <c r="P55" s="29"/>
    </row>
    <row r="56" spans="1:16" x14ac:dyDescent="0.2">
      <c r="A56" s="4"/>
      <c r="B56" s="4"/>
      <c r="C56" s="25"/>
      <c r="D56" s="25"/>
      <c r="E56" s="25"/>
      <c r="F56" s="25"/>
      <c r="G56" s="25"/>
      <c r="H56" s="25"/>
      <c r="I56" s="25"/>
      <c r="J56" s="25"/>
      <c r="K56" s="29"/>
      <c r="L56" s="25"/>
      <c r="M56" s="25"/>
      <c r="N56" s="29"/>
      <c r="O56" s="29"/>
      <c r="P56" s="29"/>
    </row>
    <row r="57" spans="1:16" x14ac:dyDescent="0.2">
      <c r="A57" s="4"/>
      <c r="B57" s="4"/>
      <c r="C57" s="25"/>
      <c r="D57" s="25"/>
      <c r="E57" s="25"/>
      <c r="F57" s="25"/>
      <c r="G57" s="25"/>
      <c r="H57" s="25"/>
      <c r="I57" s="25"/>
      <c r="J57" s="25"/>
      <c r="K57" s="29"/>
      <c r="L57" s="25"/>
      <c r="M57" s="25"/>
      <c r="N57" s="29"/>
      <c r="O57" s="29"/>
      <c r="P57" s="29"/>
    </row>
    <row r="58" spans="1:16" x14ac:dyDescent="0.2">
      <c r="A58" s="4"/>
      <c r="B58" s="4"/>
      <c r="C58" s="25"/>
      <c r="D58" s="25"/>
      <c r="E58" s="25"/>
      <c r="F58" s="25"/>
      <c r="G58" s="25"/>
      <c r="H58" s="25"/>
      <c r="I58" s="25"/>
      <c r="J58" s="25"/>
      <c r="K58" s="29"/>
      <c r="L58" s="25"/>
      <c r="M58" s="25"/>
      <c r="N58" s="29"/>
      <c r="O58" s="29"/>
      <c r="P58" s="29"/>
    </row>
    <row r="59" spans="1:16" x14ac:dyDescent="0.2">
      <c r="A59" s="4"/>
      <c r="B59" s="4"/>
      <c r="C59" s="25"/>
      <c r="D59" s="25"/>
      <c r="E59" s="25"/>
      <c r="F59" s="25"/>
      <c r="G59" s="25"/>
      <c r="H59" s="25"/>
      <c r="I59" s="25"/>
      <c r="J59" s="25"/>
      <c r="K59" s="29"/>
      <c r="L59" s="25"/>
      <c r="M59" s="25"/>
      <c r="N59" s="29"/>
      <c r="O59" s="29"/>
      <c r="P59" s="29"/>
    </row>
    <row r="60" spans="1:16" x14ac:dyDescent="0.2">
      <c r="A60" s="4"/>
      <c r="B60" s="4"/>
      <c r="C60" s="25"/>
      <c r="D60" s="25"/>
      <c r="E60" s="25"/>
      <c r="F60" s="25"/>
      <c r="G60" s="25"/>
      <c r="H60" s="25"/>
      <c r="I60" s="25"/>
      <c r="J60" s="25"/>
      <c r="K60" s="29"/>
      <c r="L60" s="25"/>
      <c r="M60" s="25"/>
      <c r="N60" s="29"/>
      <c r="O60" s="29"/>
      <c r="P60" s="29"/>
    </row>
    <row r="61" spans="1:16" x14ac:dyDescent="0.2">
      <c r="A61" s="4"/>
      <c r="B61" s="4"/>
      <c r="C61" s="25"/>
      <c r="D61" s="25"/>
      <c r="E61" s="25"/>
      <c r="F61" s="25"/>
      <c r="G61" s="25"/>
      <c r="H61" s="25"/>
      <c r="I61" s="25"/>
      <c r="J61" s="25"/>
      <c r="K61" s="29"/>
      <c r="L61" s="25"/>
      <c r="M61" s="25"/>
      <c r="N61" s="29"/>
      <c r="O61" s="29"/>
      <c r="P61" s="29"/>
    </row>
    <row r="62" spans="1:16" x14ac:dyDescent="0.2">
      <c r="A62" s="4"/>
      <c r="B62" s="4"/>
      <c r="C62" s="25"/>
      <c r="D62" s="25"/>
      <c r="E62" s="25"/>
      <c r="F62" s="25"/>
      <c r="G62" s="25"/>
      <c r="H62" s="25"/>
      <c r="I62" s="25"/>
      <c r="J62" s="25"/>
      <c r="K62" s="29"/>
      <c r="L62" s="25"/>
      <c r="M62" s="25"/>
      <c r="N62" s="29"/>
      <c r="O62" s="29"/>
      <c r="P62" s="29"/>
    </row>
    <row r="63" spans="1:16" x14ac:dyDescent="0.2">
      <c r="A63" s="4"/>
      <c r="B63" s="4"/>
      <c r="C63" s="25"/>
      <c r="D63" s="25"/>
      <c r="E63" s="25"/>
      <c r="F63" s="25"/>
      <c r="G63" s="25"/>
      <c r="H63" s="25"/>
      <c r="I63" s="25"/>
      <c r="J63" s="25"/>
      <c r="K63" s="29"/>
      <c r="L63" s="25"/>
      <c r="M63" s="25"/>
      <c r="N63" s="29"/>
      <c r="O63" s="29"/>
      <c r="P63" s="29"/>
    </row>
    <row r="64" spans="1:16" x14ac:dyDescent="0.2">
      <c r="A64" s="4"/>
      <c r="B64" s="4"/>
      <c r="C64" s="25"/>
      <c r="D64" s="25"/>
      <c r="E64" s="25"/>
      <c r="F64" s="25"/>
      <c r="G64" s="25"/>
      <c r="H64" s="25"/>
      <c r="I64" s="25"/>
      <c r="J64" s="25"/>
      <c r="K64" s="29"/>
      <c r="L64" s="25"/>
      <c r="M64" s="25"/>
      <c r="N64" s="29"/>
      <c r="O64" s="29"/>
      <c r="P64" s="29"/>
    </row>
    <row r="65" spans="1:16" x14ac:dyDescent="0.2">
      <c r="A65" s="4"/>
      <c r="B65" s="4"/>
      <c r="C65" s="25"/>
      <c r="D65" s="25"/>
      <c r="E65" s="25"/>
      <c r="F65" s="25"/>
      <c r="G65" s="25"/>
      <c r="H65" s="25"/>
      <c r="I65" s="25"/>
      <c r="J65" s="25"/>
      <c r="K65" s="29"/>
      <c r="L65" s="25"/>
      <c r="M65" s="25"/>
      <c r="N65" s="29"/>
      <c r="O65" s="29"/>
      <c r="P65" s="29"/>
    </row>
    <row r="66" spans="1:16" x14ac:dyDescent="0.2">
      <c r="A66" s="4"/>
      <c r="B66" s="4"/>
      <c r="C66" s="25"/>
      <c r="D66" s="25"/>
      <c r="E66" s="25"/>
      <c r="F66" s="25"/>
      <c r="G66" s="25"/>
      <c r="H66" s="25"/>
      <c r="I66" s="25"/>
      <c r="J66" s="25"/>
      <c r="K66" s="29"/>
      <c r="L66" s="25"/>
      <c r="M66" s="25"/>
      <c r="N66" s="29"/>
      <c r="O66" s="29"/>
      <c r="P66" s="29"/>
    </row>
    <row r="67" spans="1:16" x14ac:dyDescent="0.2">
      <c r="A67" s="4"/>
      <c r="B67" s="4"/>
      <c r="C67" s="25"/>
      <c r="D67" s="25"/>
      <c r="E67" s="25"/>
      <c r="F67" s="25"/>
      <c r="G67" s="25"/>
      <c r="H67" s="25"/>
      <c r="I67" s="25"/>
      <c r="J67" s="25"/>
      <c r="K67" s="29"/>
      <c r="L67" s="25"/>
      <c r="M67" s="25"/>
      <c r="N67" s="29"/>
      <c r="O67" s="29"/>
      <c r="P67" s="29"/>
    </row>
    <row r="68" spans="1:16" x14ac:dyDescent="0.2">
      <c r="A68" s="4"/>
      <c r="B68" s="4"/>
      <c r="C68" s="25"/>
      <c r="D68" s="25"/>
      <c r="E68" s="25"/>
      <c r="F68" s="25"/>
      <c r="G68" s="25"/>
      <c r="H68" s="25"/>
      <c r="I68" s="25"/>
      <c r="J68" s="25"/>
      <c r="K68" s="29"/>
      <c r="L68" s="25"/>
      <c r="M68" s="25"/>
      <c r="N68" s="29"/>
      <c r="O68" s="29"/>
      <c r="P68" s="29"/>
    </row>
    <row r="69" spans="1:16" x14ac:dyDescent="0.2">
      <c r="A69" s="4"/>
      <c r="B69" s="4"/>
      <c r="C69" s="25"/>
      <c r="D69" s="25"/>
      <c r="E69" s="25"/>
      <c r="F69" s="25"/>
      <c r="G69" s="25"/>
      <c r="H69" s="25"/>
      <c r="I69" s="25"/>
      <c r="J69" s="25"/>
      <c r="K69" s="29"/>
      <c r="L69" s="25"/>
      <c r="M69" s="25"/>
      <c r="N69" s="29"/>
      <c r="O69" s="29"/>
      <c r="P69" s="29"/>
    </row>
    <row r="70" spans="1:16" x14ac:dyDescent="0.2">
      <c r="A70" s="4"/>
      <c r="B70" s="4"/>
      <c r="C70" s="25"/>
      <c r="D70" s="25"/>
      <c r="E70" s="25"/>
      <c r="F70" s="25"/>
      <c r="G70" s="25"/>
      <c r="H70" s="25"/>
      <c r="I70" s="25"/>
      <c r="J70" s="25"/>
      <c r="K70" s="29"/>
      <c r="L70" s="25"/>
      <c r="M70" s="25"/>
      <c r="N70" s="29"/>
      <c r="O70" s="29"/>
      <c r="P70" s="29"/>
    </row>
    <row r="71" spans="1:16" x14ac:dyDescent="0.2">
      <c r="A71" s="4"/>
      <c r="B71" s="4"/>
      <c r="C71" s="25"/>
      <c r="D71" s="25"/>
      <c r="E71" s="25"/>
      <c r="F71" s="25"/>
      <c r="G71" s="25"/>
      <c r="H71" s="25"/>
      <c r="I71" s="25"/>
      <c r="J71" s="25"/>
      <c r="K71" s="29"/>
      <c r="L71" s="25"/>
      <c r="M71" s="25"/>
      <c r="N71" s="29"/>
      <c r="O71" s="29"/>
      <c r="P71" s="29"/>
    </row>
    <row r="72" spans="1:16" x14ac:dyDescent="0.2">
      <c r="A72" s="4"/>
      <c r="B72" s="4"/>
      <c r="C72" s="25"/>
      <c r="D72" s="25"/>
      <c r="E72" s="25"/>
      <c r="F72" s="25"/>
      <c r="G72" s="25"/>
      <c r="H72" s="25"/>
      <c r="I72" s="25"/>
      <c r="J72" s="25"/>
      <c r="K72" s="29"/>
      <c r="L72" s="25"/>
      <c r="M72" s="25"/>
      <c r="N72" s="29"/>
      <c r="O72" s="29"/>
      <c r="P72" s="29"/>
    </row>
    <row r="73" spans="1:16" x14ac:dyDescent="0.2">
      <c r="A73" s="4"/>
      <c r="B73" s="4"/>
      <c r="C73" s="25"/>
      <c r="D73" s="25"/>
      <c r="E73" s="25"/>
      <c r="F73" s="25"/>
      <c r="G73" s="25"/>
      <c r="H73" s="25"/>
      <c r="I73" s="25"/>
      <c r="J73" s="25"/>
      <c r="K73" s="29"/>
      <c r="L73" s="25"/>
      <c r="M73" s="25"/>
      <c r="N73" s="29"/>
      <c r="O73" s="29"/>
      <c r="P73" s="29"/>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A112" s="4"/>
      <c r="B112" s="4"/>
      <c r="C112" s="25"/>
      <c r="D112" s="25"/>
      <c r="E112" s="25"/>
      <c r="F112" s="25"/>
      <c r="G112" s="25"/>
      <c r="H112" s="25"/>
      <c r="I112" s="25"/>
      <c r="J112" s="25"/>
      <c r="K112" s="4"/>
      <c r="L112" s="25"/>
      <c r="M112" s="25"/>
      <c r="N112" s="4"/>
      <c r="O112" s="4"/>
      <c r="P112" s="4"/>
    </row>
    <row r="113" spans="1:16" x14ac:dyDescent="0.2">
      <c r="A113" s="4"/>
      <c r="B113" s="4"/>
      <c r="C113" s="25"/>
      <c r="D113" s="25"/>
      <c r="E113" s="25"/>
      <c r="F113" s="25"/>
      <c r="G113" s="25"/>
      <c r="H113" s="25"/>
      <c r="I113" s="25"/>
      <c r="J113" s="25"/>
      <c r="K113" s="4"/>
      <c r="L113" s="25"/>
      <c r="M113" s="25"/>
      <c r="N113" s="4"/>
      <c r="O113" s="4"/>
      <c r="P113" s="4"/>
    </row>
    <row r="114" spans="1:16" x14ac:dyDescent="0.2">
      <c r="A114" s="4"/>
      <c r="B114" s="4"/>
      <c r="C114" s="25"/>
      <c r="D114" s="25"/>
      <c r="E114" s="25"/>
      <c r="F114" s="25"/>
      <c r="G114" s="25"/>
      <c r="H114" s="25"/>
      <c r="I114" s="25"/>
      <c r="J114" s="25"/>
      <c r="K114" s="4"/>
      <c r="L114" s="25"/>
      <c r="M114" s="25"/>
      <c r="N114" s="4"/>
      <c r="O114" s="4"/>
      <c r="P114" s="4"/>
    </row>
    <row r="115" spans="1:16" x14ac:dyDescent="0.2">
      <c r="A115" s="4"/>
      <c r="B115" s="4"/>
      <c r="C115" s="25"/>
      <c r="D115" s="25"/>
      <c r="E115" s="25"/>
      <c r="F115" s="25"/>
      <c r="G115" s="25"/>
      <c r="H115" s="25"/>
      <c r="I115" s="25"/>
      <c r="J115" s="25"/>
      <c r="K115" s="4"/>
      <c r="L115" s="25"/>
      <c r="M115" s="25"/>
      <c r="N115" s="4"/>
      <c r="O115" s="4"/>
      <c r="P115" s="4"/>
    </row>
    <row r="116" spans="1:16" x14ac:dyDescent="0.2">
      <c r="A116" s="4"/>
      <c r="B116" s="4"/>
      <c r="C116" s="25"/>
      <c r="D116" s="25"/>
      <c r="E116" s="25"/>
      <c r="F116" s="25"/>
      <c r="G116" s="25"/>
      <c r="H116" s="25"/>
      <c r="I116" s="25"/>
      <c r="J116" s="25"/>
      <c r="K116" s="4"/>
      <c r="L116" s="25"/>
      <c r="M116" s="25"/>
      <c r="N116" s="4"/>
      <c r="O116" s="4"/>
      <c r="P116" s="4"/>
    </row>
    <row r="117" spans="1:16" x14ac:dyDescent="0.2">
      <c r="A117" s="4"/>
      <c r="B117" s="4"/>
      <c r="C117" s="25"/>
      <c r="D117" s="25"/>
      <c r="E117" s="25"/>
      <c r="F117" s="25"/>
      <c r="G117" s="25"/>
      <c r="H117" s="25"/>
      <c r="I117" s="25"/>
      <c r="J117" s="25"/>
      <c r="K117" s="4"/>
      <c r="L117" s="25"/>
      <c r="M117" s="25"/>
      <c r="N117" s="4"/>
      <c r="O117" s="4"/>
      <c r="P117" s="4"/>
    </row>
    <row r="118" spans="1:16" x14ac:dyDescent="0.2">
      <c r="A118" s="4"/>
      <c r="B118" s="4"/>
      <c r="C118" s="25"/>
      <c r="D118" s="25"/>
      <c r="E118" s="25"/>
      <c r="F118" s="25"/>
      <c r="G118" s="25"/>
      <c r="H118" s="25"/>
      <c r="I118" s="25"/>
      <c r="J118" s="25"/>
      <c r="K118" s="4"/>
      <c r="L118" s="25"/>
      <c r="M118" s="25"/>
      <c r="N118" s="4"/>
      <c r="O118" s="4"/>
      <c r="P118" s="4"/>
    </row>
    <row r="119" spans="1:16" x14ac:dyDescent="0.2">
      <c r="A119" s="4"/>
      <c r="B119" s="4"/>
      <c r="C119" s="25"/>
      <c r="D119" s="25"/>
      <c r="E119" s="25"/>
      <c r="F119" s="25"/>
      <c r="G119" s="25"/>
      <c r="H119" s="25"/>
      <c r="I119" s="25"/>
      <c r="J119" s="25"/>
      <c r="K119" s="4"/>
      <c r="L119" s="25"/>
      <c r="M119" s="25"/>
      <c r="N119" s="4"/>
      <c r="O119" s="4"/>
      <c r="P119" s="4"/>
    </row>
    <row r="120" spans="1:16" x14ac:dyDescent="0.2">
      <c r="A120" s="4"/>
      <c r="B120" s="4"/>
      <c r="C120" s="25"/>
      <c r="D120" s="25"/>
      <c r="E120" s="25"/>
      <c r="F120" s="25"/>
      <c r="G120" s="25"/>
      <c r="H120" s="25"/>
      <c r="I120" s="25"/>
      <c r="J120" s="25"/>
      <c r="K120" s="4"/>
      <c r="L120" s="25"/>
      <c r="M120" s="25"/>
      <c r="N120" s="4"/>
      <c r="O120" s="4"/>
      <c r="P120" s="4"/>
    </row>
    <row r="121" spans="1:16" x14ac:dyDescent="0.2">
      <c r="A121" s="4"/>
      <c r="B121" s="4"/>
      <c r="C121" s="25"/>
      <c r="D121" s="25"/>
      <c r="E121" s="25"/>
      <c r="F121" s="25"/>
      <c r="G121" s="25"/>
      <c r="H121" s="25"/>
      <c r="I121" s="25"/>
      <c r="J121" s="25"/>
      <c r="K121" s="4"/>
      <c r="L121" s="25"/>
      <c r="M121" s="25"/>
      <c r="N121" s="4"/>
      <c r="O121" s="4"/>
      <c r="P121" s="4"/>
    </row>
    <row r="122" spans="1:16" x14ac:dyDescent="0.2">
      <c r="A122" s="4"/>
      <c r="B122" s="4"/>
      <c r="C122" s="25"/>
      <c r="D122" s="25"/>
      <c r="E122" s="25"/>
      <c r="F122" s="25"/>
      <c r="G122" s="25"/>
      <c r="H122" s="25"/>
      <c r="I122" s="25"/>
      <c r="J122" s="25"/>
      <c r="K122" s="4"/>
      <c r="L122" s="25"/>
      <c r="M122" s="25"/>
      <c r="N122" s="4"/>
      <c r="O122" s="4"/>
      <c r="P122" s="4"/>
    </row>
    <row r="123" spans="1:16" x14ac:dyDescent="0.2">
      <c r="A123" s="4"/>
      <c r="B123" s="4"/>
      <c r="C123" s="25"/>
      <c r="D123" s="25"/>
      <c r="E123" s="25"/>
      <c r="F123" s="25"/>
      <c r="G123" s="25"/>
      <c r="H123" s="25"/>
      <c r="I123" s="25"/>
      <c r="J123" s="25"/>
      <c r="K123" s="4"/>
      <c r="L123" s="25"/>
      <c r="M123" s="25"/>
      <c r="N123" s="4"/>
      <c r="O123" s="4"/>
      <c r="P123" s="4"/>
    </row>
    <row r="124" spans="1:16" x14ac:dyDescent="0.2">
      <c r="A124" s="4"/>
      <c r="B124" s="4"/>
      <c r="C124" s="25"/>
      <c r="D124" s="25"/>
      <c r="E124" s="25"/>
      <c r="F124" s="25"/>
      <c r="G124" s="25"/>
      <c r="H124" s="25"/>
      <c r="I124" s="25"/>
      <c r="J124" s="25"/>
      <c r="K124" s="4"/>
      <c r="L124" s="25"/>
      <c r="M124" s="25"/>
      <c r="N124" s="4"/>
      <c r="O124" s="4"/>
      <c r="P124" s="4"/>
    </row>
    <row r="125" spans="1:16" x14ac:dyDescent="0.2">
      <c r="A125" s="4"/>
      <c r="B125" s="4"/>
      <c r="C125" s="25"/>
      <c r="D125" s="25"/>
      <c r="E125" s="25"/>
      <c r="F125" s="25"/>
      <c r="G125" s="25"/>
      <c r="H125" s="25"/>
      <c r="I125" s="25"/>
      <c r="J125" s="25"/>
      <c r="K125" s="4"/>
      <c r="L125" s="25"/>
      <c r="M125" s="25"/>
      <c r="N125" s="4"/>
      <c r="O125" s="4"/>
      <c r="P125" s="4"/>
    </row>
    <row r="126" spans="1:16" x14ac:dyDescent="0.2">
      <c r="A126" s="4"/>
      <c r="B126" s="4"/>
      <c r="C126" s="25"/>
      <c r="D126" s="25"/>
      <c r="E126" s="25"/>
      <c r="F126" s="25"/>
      <c r="G126" s="25"/>
      <c r="H126" s="25"/>
      <c r="I126" s="25"/>
      <c r="J126" s="25"/>
      <c r="K126" s="4"/>
      <c r="L126" s="25"/>
      <c r="M126" s="25"/>
      <c r="N126" s="4"/>
      <c r="O126" s="4"/>
      <c r="P126" s="4"/>
    </row>
    <row r="127" spans="1:16" x14ac:dyDescent="0.2">
      <c r="A127" s="4"/>
      <c r="B127" s="4"/>
      <c r="C127" s="25"/>
      <c r="D127" s="25"/>
      <c r="E127" s="25"/>
      <c r="F127" s="25"/>
      <c r="G127" s="25"/>
      <c r="H127" s="25"/>
      <c r="I127" s="25"/>
      <c r="J127" s="25"/>
      <c r="K127" s="4"/>
      <c r="L127" s="25"/>
      <c r="M127" s="25"/>
      <c r="N127" s="4"/>
      <c r="O127" s="4"/>
      <c r="P127" s="4"/>
    </row>
    <row r="128" spans="1:16" x14ac:dyDescent="0.2">
      <c r="A128" s="4"/>
      <c r="B128" s="4"/>
      <c r="C128" s="25"/>
      <c r="D128" s="25"/>
      <c r="E128" s="25"/>
      <c r="F128" s="25"/>
      <c r="G128" s="25"/>
      <c r="H128" s="25"/>
      <c r="I128" s="25"/>
      <c r="J128" s="25"/>
      <c r="K128" s="4"/>
      <c r="L128" s="25"/>
      <c r="M128" s="25"/>
      <c r="N128" s="4"/>
      <c r="O128" s="4"/>
      <c r="P128" s="4"/>
    </row>
    <row r="129" spans="1:16" x14ac:dyDescent="0.2">
      <c r="A129" s="4"/>
      <c r="B129" s="4"/>
      <c r="C129" s="25"/>
      <c r="D129" s="25"/>
      <c r="E129" s="25"/>
      <c r="F129" s="25"/>
      <c r="G129" s="25"/>
      <c r="H129" s="25"/>
      <c r="I129" s="25"/>
      <c r="J129" s="25"/>
      <c r="K129" s="4"/>
      <c r="L129" s="25"/>
      <c r="M129" s="25"/>
      <c r="N129" s="4"/>
      <c r="O129" s="4"/>
      <c r="P129" s="4"/>
    </row>
    <row r="130" spans="1:16" x14ac:dyDescent="0.2">
      <c r="A130" s="4"/>
      <c r="B130" s="4"/>
      <c r="C130" s="25"/>
      <c r="D130" s="25"/>
      <c r="E130" s="25"/>
      <c r="F130" s="25"/>
      <c r="G130" s="25"/>
      <c r="H130" s="25"/>
      <c r="I130" s="25"/>
      <c r="J130" s="25"/>
      <c r="K130" s="4"/>
      <c r="L130" s="25"/>
      <c r="M130" s="25"/>
      <c r="N130" s="4"/>
      <c r="O130" s="4"/>
      <c r="P130" s="4"/>
    </row>
    <row r="131" spans="1:16" x14ac:dyDescent="0.2">
      <c r="A131" s="4"/>
      <c r="B131" s="4"/>
      <c r="C131" s="25"/>
      <c r="D131" s="25"/>
      <c r="E131" s="25"/>
      <c r="F131" s="25"/>
      <c r="G131" s="25"/>
      <c r="H131" s="25"/>
      <c r="I131" s="25"/>
      <c r="J131" s="25"/>
      <c r="K131" s="4"/>
      <c r="L131" s="25"/>
      <c r="M131" s="25"/>
      <c r="N131" s="4"/>
      <c r="O131" s="4"/>
      <c r="P131" s="4"/>
    </row>
    <row r="132" spans="1:16" x14ac:dyDescent="0.2">
      <c r="A132" s="4"/>
      <c r="B132" s="4"/>
      <c r="C132" s="25"/>
      <c r="D132" s="25"/>
      <c r="E132" s="25"/>
      <c r="F132" s="25"/>
      <c r="G132" s="25"/>
      <c r="H132" s="25"/>
      <c r="I132" s="25"/>
      <c r="J132" s="25"/>
      <c r="K132" s="4"/>
      <c r="L132" s="25"/>
      <c r="M132" s="25"/>
      <c r="N132" s="4"/>
      <c r="O132" s="4"/>
      <c r="P132" s="4"/>
    </row>
    <row r="133" spans="1:16" x14ac:dyDescent="0.2">
      <c r="A133" s="4"/>
      <c r="B133" s="4"/>
      <c r="C133" s="25"/>
      <c r="D133" s="25"/>
      <c r="E133" s="25"/>
      <c r="F133" s="25"/>
      <c r="G133" s="25"/>
      <c r="H133" s="25"/>
      <c r="I133" s="25"/>
      <c r="J133" s="25"/>
      <c r="K133" s="4"/>
      <c r="L133" s="25"/>
      <c r="M133" s="25"/>
      <c r="N133" s="4"/>
      <c r="O133" s="4"/>
      <c r="P133" s="4"/>
    </row>
    <row r="134" spans="1:16" x14ac:dyDescent="0.2">
      <c r="A134" s="4"/>
      <c r="B134" s="4"/>
      <c r="C134" s="25"/>
      <c r="D134" s="25"/>
      <c r="E134" s="25"/>
      <c r="F134" s="25"/>
      <c r="G134" s="25"/>
      <c r="H134" s="25"/>
      <c r="I134" s="25"/>
      <c r="J134" s="25"/>
      <c r="K134" s="4"/>
      <c r="L134" s="25"/>
      <c r="M134" s="25"/>
      <c r="N134" s="4"/>
      <c r="O134" s="4"/>
      <c r="P134" s="4"/>
    </row>
    <row r="135" spans="1:16" x14ac:dyDescent="0.2">
      <c r="A135" s="4"/>
      <c r="B135" s="4"/>
      <c r="C135" s="25"/>
      <c r="D135" s="25"/>
      <c r="E135" s="25"/>
      <c r="F135" s="25"/>
      <c r="G135" s="25"/>
      <c r="H135" s="25"/>
      <c r="I135" s="25"/>
      <c r="J135" s="25"/>
      <c r="K135" s="4"/>
      <c r="L135" s="25"/>
      <c r="M135" s="25"/>
      <c r="N135" s="4"/>
      <c r="O135" s="4"/>
      <c r="P135" s="4"/>
    </row>
    <row r="136" spans="1:16" x14ac:dyDescent="0.2">
      <c r="A136" s="4"/>
      <c r="B136" s="4"/>
      <c r="C136" s="25"/>
      <c r="D136" s="25"/>
      <c r="E136" s="25"/>
      <c r="F136" s="25"/>
      <c r="G136" s="25"/>
      <c r="H136" s="25"/>
      <c r="I136" s="25"/>
      <c r="J136" s="25"/>
      <c r="K136" s="4"/>
      <c r="L136" s="25"/>
      <c r="M136" s="25"/>
      <c r="N136" s="4"/>
      <c r="O136" s="4"/>
      <c r="P136" s="4"/>
    </row>
    <row r="137" spans="1:16" x14ac:dyDescent="0.2">
      <c r="A137" s="4"/>
      <c r="B137" s="4"/>
      <c r="C137" s="25"/>
      <c r="D137" s="25"/>
      <c r="E137" s="25"/>
      <c r="F137" s="25"/>
      <c r="G137" s="25"/>
      <c r="H137" s="25"/>
      <c r="I137" s="25"/>
      <c r="J137" s="25"/>
      <c r="K137" s="4"/>
      <c r="L137" s="25"/>
      <c r="M137" s="25"/>
      <c r="N137" s="4"/>
      <c r="O137" s="4"/>
      <c r="P137" s="4"/>
    </row>
    <row r="138" spans="1:16" x14ac:dyDescent="0.2">
      <c r="C138" s="121"/>
    </row>
    <row r="139" spans="1:16" x14ac:dyDescent="0.2">
      <c r="C139" s="121"/>
    </row>
    <row r="140" spans="1:16" x14ac:dyDescent="0.2">
      <c r="C140" s="121"/>
    </row>
    <row r="141" spans="1:16" x14ac:dyDescent="0.2">
      <c r="C141" s="121"/>
    </row>
    <row r="142" spans="1:16" x14ac:dyDescent="0.2">
      <c r="C142" s="121"/>
    </row>
    <row r="143" spans="1:16" x14ac:dyDescent="0.2">
      <c r="C143" s="121"/>
    </row>
    <row r="144" spans="1:16"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row r="178" spans="3:3" x14ac:dyDescent="0.2">
      <c r="C178" s="121"/>
    </row>
    <row r="179" spans="3:3" x14ac:dyDescent="0.2">
      <c r="C179" s="121"/>
    </row>
    <row r="180" spans="3:3" x14ac:dyDescent="0.2">
      <c r="C180" s="121"/>
    </row>
    <row r="181" spans="3:3" x14ac:dyDescent="0.2">
      <c r="C181" s="121"/>
    </row>
    <row r="182" spans="3:3" x14ac:dyDescent="0.2">
      <c r="C182" s="121"/>
    </row>
    <row r="183" spans="3:3" x14ac:dyDescent="0.2">
      <c r="C183" s="121"/>
    </row>
    <row r="184" spans="3:3" x14ac:dyDescent="0.2">
      <c r="C184"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horizontalDpi="300" verticalDpi="300" r:id="rId1"/>
  <headerFooter alignWithMargins="0">
    <oddFooter>&amp;L&amp;D     &amp;T&amp;C&amp;F&amp;R&amp;A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85" zoomScaleNormal="85" workbookViewId="0">
      <pane ySplit="7" topLeftCell="A8" activePane="bottomLeft" state="frozen"/>
      <selection activeCell="K15" sqref="K15"/>
      <selection pane="bottomLeft" activeCell="N10" sqref="N9:N10"/>
    </sheetView>
  </sheetViews>
  <sheetFormatPr defaultRowHeight="12.75" x14ac:dyDescent="0.2"/>
  <cols>
    <col min="2" max="2" width="36.5" customWidth="1"/>
    <col min="3" max="3" width="14.33203125" style="1" hidden="1" customWidth="1"/>
    <col min="4" max="7" width="14.33203125" style="121" hidden="1" customWidth="1"/>
    <col min="8" max="8" width="14.33203125" style="121" customWidth="1"/>
    <col min="9" max="10" width="14.33203125" style="87" customWidth="1"/>
    <col min="11" max="14" width="14.33203125" customWidth="1"/>
  </cols>
  <sheetData>
    <row r="1" spans="1:17" x14ac:dyDescent="0.2">
      <c r="A1" s="410" t="s">
        <v>1013</v>
      </c>
      <c r="B1" s="410" t="s">
        <v>1418</v>
      </c>
      <c r="D1" s="235"/>
      <c r="E1" s="235"/>
      <c r="F1" s="235"/>
      <c r="G1" s="235"/>
      <c r="H1" s="235"/>
      <c r="I1" s="235"/>
      <c r="J1" s="235"/>
      <c r="L1" s="1"/>
    </row>
    <row r="2" spans="1:17" ht="15" x14ac:dyDescent="0.25">
      <c r="A2" s="49" t="s">
        <v>4</v>
      </c>
      <c r="B2" s="49"/>
      <c r="E2" s="153"/>
      <c r="H2" s="153" t="s">
        <v>252</v>
      </c>
      <c r="I2" s="153"/>
      <c r="J2" s="153"/>
      <c r="K2" s="67" t="s">
        <v>385</v>
      </c>
      <c r="L2" s="1"/>
      <c r="M2" s="50" t="s">
        <v>397</v>
      </c>
    </row>
    <row r="3" spans="1:17" ht="13.5" thickBot="1" x14ac:dyDescent="0.25">
      <c r="A3" s="4"/>
      <c r="B3" s="4"/>
      <c r="C3" s="25"/>
      <c r="D3" s="25"/>
      <c r="E3" s="25"/>
      <c r="F3" s="25"/>
      <c r="G3" s="25"/>
      <c r="H3" s="25"/>
      <c r="I3" s="25"/>
      <c r="J3" s="25"/>
      <c r="K3" s="4"/>
      <c r="L3" s="25"/>
      <c r="M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c r="O4" s="7"/>
      <c r="P4" s="7"/>
      <c r="Q4" s="7"/>
    </row>
    <row r="5" spans="1:17" x14ac:dyDescent="0.2">
      <c r="A5" s="93"/>
      <c r="B5" s="216"/>
      <c r="C5" s="137"/>
      <c r="D5" s="94"/>
      <c r="E5" s="120"/>
      <c r="F5" s="94"/>
      <c r="G5" s="94"/>
      <c r="H5" s="120"/>
      <c r="I5" s="318"/>
      <c r="J5" s="318"/>
      <c r="K5" s="120" t="s">
        <v>509</v>
      </c>
      <c r="L5" s="95" t="s">
        <v>7</v>
      </c>
      <c r="M5" s="209" t="s">
        <v>783</v>
      </c>
      <c r="O5" s="51" t="s">
        <v>900</v>
      </c>
      <c r="P5" s="51" t="s">
        <v>901</v>
      </c>
      <c r="Q5" s="51" t="s">
        <v>902</v>
      </c>
    </row>
    <row r="6" spans="1:17" x14ac:dyDescent="0.2">
      <c r="A6" s="93"/>
      <c r="B6" s="216"/>
      <c r="C6" s="118"/>
      <c r="D6" s="94"/>
      <c r="E6" s="120"/>
      <c r="F6" s="120"/>
      <c r="G6" s="120"/>
      <c r="H6" s="120"/>
      <c r="I6" s="318"/>
      <c r="J6" s="318"/>
      <c r="K6" s="120"/>
      <c r="L6" s="95" t="s">
        <v>8</v>
      </c>
      <c r="M6" s="51" t="s">
        <v>537</v>
      </c>
      <c r="O6" s="51"/>
      <c r="P6" s="51"/>
      <c r="Q6" s="51"/>
    </row>
    <row r="7" spans="1:17" ht="13.5" thickBot="1" x14ac:dyDescent="0.25">
      <c r="A7" s="8" t="s">
        <v>123</v>
      </c>
      <c r="B7" s="89"/>
      <c r="C7" s="338" t="s">
        <v>334</v>
      </c>
      <c r="D7" s="338" t="s">
        <v>718</v>
      </c>
      <c r="E7" s="88" t="s">
        <v>734</v>
      </c>
      <c r="F7" s="88" t="s">
        <v>791</v>
      </c>
      <c r="G7" s="88" t="s">
        <v>881</v>
      </c>
      <c r="H7" s="88" t="s">
        <v>1010</v>
      </c>
      <c r="I7" s="88" t="s">
        <v>1072</v>
      </c>
      <c r="J7" s="88" t="s">
        <v>899</v>
      </c>
      <c r="K7" s="146">
        <v>43830</v>
      </c>
      <c r="L7" s="88" t="s">
        <v>9</v>
      </c>
      <c r="M7" s="9" t="s">
        <v>541</v>
      </c>
      <c r="O7" s="9"/>
      <c r="P7" s="9"/>
      <c r="Q7" s="9"/>
    </row>
    <row r="8" spans="1:17" ht="13.5" thickTop="1" x14ac:dyDescent="0.2">
      <c r="A8" s="10"/>
      <c r="B8" s="192"/>
      <c r="C8" s="139"/>
      <c r="D8" s="339"/>
      <c r="E8" s="339"/>
      <c r="F8" s="339"/>
      <c r="G8" s="339"/>
      <c r="H8" s="339"/>
      <c r="I8" s="175"/>
      <c r="J8" s="175"/>
      <c r="K8" s="139"/>
      <c r="L8" s="100"/>
      <c r="M8" s="100"/>
    </row>
    <row r="9" spans="1:17" x14ac:dyDescent="0.2">
      <c r="A9" s="12"/>
      <c r="B9" s="69"/>
      <c r="C9" s="142"/>
      <c r="D9" s="142"/>
      <c r="E9" s="142"/>
      <c r="F9" s="142"/>
      <c r="G9" s="142"/>
      <c r="H9" s="142"/>
      <c r="I9" s="99"/>
      <c r="J9" s="99"/>
      <c r="K9" s="142"/>
      <c r="L9" s="99"/>
      <c r="M9" s="99"/>
      <c r="N9" s="254"/>
    </row>
    <row r="10" spans="1:17" x14ac:dyDescent="0.2">
      <c r="A10" s="12">
        <v>5211</v>
      </c>
      <c r="B10" s="69" t="s">
        <v>187</v>
      </c>
      <c r="C10" s="142">
        <v>11553.22</v>
      </c>
      <c r="D10" s="19">
        <v>9846.44</v>
      </c>
      <c r="E10" s="19">
        <v>11587.74</v>
      </c>
      <c r="F10" s="19">
        <v>9530.26</v>
      </c>
      <c r="G10" s="19">
        <v>7728.8</v>
      </c>
      <c r="H10" s="19">
        <v>8895.5</v>
      </c>
      <c r="I10" s="136">
        <v>10074.92</v>
      </c>
      <c r="J10" s="134">
        <v>12000</v>
      </c>
      <c r="K10" s="142">
        <v>3204.57</v>
      </c>
      <c r="L10" s="134">
        <v>12000</v>
      </c>
      <c r="M10" s="20"/>
      <c r="N10" s="351"/>
      <c r="O10" s="134"/>
      <c r="P10" s="134"/>
      <c r="Q10" s="134"/>
    </row>
    <row r="11" spans="1:17" x14ac:dyDescent="0.2">
      <c r="A11" s="12">
        <v>5214</v>
      </c>
      <c r="B11" s="69" t="s">
        <v>710</v>
      </c>
      <c r="C11" s="142">
        <v>2192.92</v>
      </c>
      <c r="D11" s="19">
        <v>81.84</v>
      </c>
      <c r="E11" s="19">
        <v>150.22</v>
      </c>
      <c r="F11" s="19">
        <v>157.93</v>
      </c>
      <c r="G11" s="19">
        <v>100.14</v>
      </c>
      <c r="H11" s="19">
        <v>359.33</v>
      </c>
      <c r="I11" s="136">
        <v>117.41</v>
      </c>
      <c r="J11" s="134">
        <v>1000</v>
      </c>
      <c r="K11" s="142">
        <v>62.55</v>
      </c>
      <c r="L11" s="134">
        <v>1000</v>
      </c>
      <c r="M11" s="20"/>
      <c r="O11" s="134"/>
      <c r="P11" s="134"/>
      <c r="Q11" s="134"/>
    </row>
    <row r="12" spans="1:17" x14ac:dyDescent="0.2">
      <c r="A12" s="12">
        <v>5231</v>
      </c>
      <c r="B12" s="69" t="s">
        <v>189</v>
      </c>
      <c r="C12" s="142">
        <v>546</v>
      </c>
      <c r="D12" s="19">
        <v>591</v>
      </c>
      <c r="E12" s="19">
        <v>482</v>
      </c>
      <c r="F12" s="19">
        <v>582</v>
      </c>
      <c r="G12" s="19">
        <v>627</v>
      </c>
      <c r="H12" s="19">
        <v>627</v>
      </c>
      <c r="I12" s="136">
        <v>631</v>
      </c>
      <c r="J12" s="134">
        <v>1000</v>
      </c>
      <c r="K12" s="142">
        <v>292</v>
      </c>
      <c r="L12" s="134">
        <v>1000</v>
      </c>
      <c r="M12" s="20"/>
      <c r="O12" s="134"/>
      <c r="P12" s="134"/>
      <c r="Q12" s="134"/>
    </row>
    <row r="13" spans="1:17" x14ac:dyDescent="0.2">
      <c r="A13" s="12">
        <v>5232</v>
      </c>
      <c r="B13" s="69" t="s">
        <v>190</v>
      </c>
      <c r="C13" s="142">
        <v>360</v>
      </c>
      <c r="D13" s="19">
        <v>373.2</v>
      </c>
      <c r="E13" s="19">
        <v>373.2</v>
      </c>
      <c r="F13" s="19">
        <v>410.4</v>
      </c>
      <c r="G13" s="19">
        <v>480</v>
      </c>
      <c r="H13" s="19">
        <v>496.8</v>
      </c>
      <c r="I13" s="136">
        <v>848.98</v>
      </c>
      <c r="J13" s="134">
        <v>1000</v>
      </c>
      <c r="K13" s="142">
        <v>571.6</v>
      </c>
      <c r="L13" s="134">
        <v>1200</v>
      </c>
      <c r="M13" s="20"/>
      <c r="O13" s="134"/>
      <c r="P13" s="134"/>
      <c r="Q13" s="134"/>
    </row>
    <row r="14" spans="1:17" x14ac:dyDescent="0.2">
      <c r="A14" s="12">
        <v>5242</v>
      </c>
      <c r="B14" s="69" t="s">
        <v>572</v>
      </c>
      <c r="C14" s="142">
        <v>3491.97</v>
      </c>
      <c r="D14" s="19">
        <v>21296.12</v>
      </c>
      <c r="E14" s="19">
        <v>20156.25</v>
      </c>
      <c r="F14" s="19">
        <v>6313.23</v>
      </c>
      <c r="G14" s="19">
        <v>19858.14</v>
      </c>
      <c r="H14" s="19">
        <v>20316.09</v>
      </c>
      <c r="I14" s="136">
        <v>30018.05</v>
      </c>
      <c r="J14" s="134">
        <v>30000</v>
      </c>
      <c r="K14" s="142">
        <v>8461.33</v>
      </c>
      <c r="L14" s="134">
        <v>30000</v>
      </c>
      <c r="M14" s="134"/>
      <c r="O14" s="134"/>
      <c r="P14" s="134"/>
      <c r="Q14" s="134"/>
    </row>
    <row r="15" spans="1:17" x14ac:dyDescent="0.2">
      <c r="A15" s="12">
        <v>5279</v>
      </c>
      <c r="B15" s="69" t="s">
        <v>126</v>
      </c>
      <c r="C15" s="142">
        <v>11000</v>
      </c>
      <c r="D15" s="19">
        <v>14000</v>
      </c>
      <c r="E15" s="19">
        <v>13000</v>
      </c>
      <c r="F15" s="19">
        <v>13250</v>
      </c>
      <c r="G15" s="19">
        <v>13000</v>
      </c>
      <c r="H15" s="19">
        <v>13000</v>
      </c>
      <c r="I15" s="136">
        <v>12000</v>
      </c>
      <c r="J15" s="134">
        <v>15000</v>
      </c>
      <c r="K15" s="142"/>
      <c r="L15" s="134"/>
      <c r="M15" s="20"/>
      <c r="O15" s="134"/>
      <c r="P15" s="134"/>
      <c r="Q15" s="134"/>
    </row>
    <row r="16" spans="1:17" x14ac:dyDescent="0.2">
      <c r="A16" s="12">
        <v>5315</v>
      </c>
      <c r="B16" s="69" t="s">
        <v>135</v>
      </c>
      <c r="C16" s="142">
        <v>2095.8000000000002</v>
      </c>
      <c r="D16" s="19">
        <v>5730.83</v>
      </c>
      <c r="E16" s="19">
        <v>3042.64</v>
      </c>
      <c r="F16" s="19">
        <v>6426.3</v>
      </c>
      <c r="G16" s="19">
        <v>649</v>
      </c>
      <c r="H16" s="19">
        <v>7721.46</v>
      </c>
      <c r="I16" s="136">
        <v>383</v>
      </c>
      <c r="J16" s="134">
        <v>6000</v>
      </c>
      <c r="K16" s="142">
        <v>138</v>
      </c>
      <c r="L16" s="134">
        <v>6000</v>
      </c>
      <c r="M16" s="20"/>
      <c r="O16" s="134"/>
      <c r="P16" s="134"/>
      <c r="Q16" s="134"/>
    </row>
    <row r="17" spans="1:17" x14ac:dyDescent="0.2">
      <c r="A17" s="12">
        <v>5341</v>
      </c>
      <c r="B17" s="69" t="s">
        <v>136</v>
      </c>
      <c r="C17" s="142">
        <v>795.95</v>
      </c>
      <c r="D17" s="19">
        <v>1045.52</v>
      </c>
      <c r="E17" s="19">
        <v>1083.3800000000001</v>
      </c>
      <c r="F17" s="19">
        <v>1133.93</v>
      </c>
      <c r="G17" s="19">
        <v>1144.67</v>
      </c>
      <c r="H17" s="19">
        <v>606.79999999999995</v>
      </c>
      <c r="I17" s="136">
        <v>643.46</v>
      </c>
      <c r="J17" s="134"/>
      <c r="K17" s="142">
        <v>279.45999999999998</v>
      </c>
      <c r="L17" s="134">
        <v>750</v>
      </c>
      <c r="M17" s="20"/>
      <c r="O17" s="134"/>
      <c r="P17" s="134"/>
      <c r="Q17" s="134"/>
    </row>
    <row r="18" spans="1:17" x14ac:dyDescent="0.2">
      <c r="A18" s="12">
        <v>5420</v>
      </c>
      <c r="B18" s="69" t="s">
        <v>139</v>
      </c>
      <c r="C18" s="142">
        <v>41.46</v>
      </c>
      <c r="D18" s="19">
        <v>0</v>
      </c>
      <c r="E18" s="19"/>
      <c r="F18" s="19"/>
      <c r="G18" s="19"/>
      <c r="H18" s="19"/>
      <c r="I18" s="136">
        <v>0</v>
      </c>
      <c r="J18" s="134"/>
      <c r="K18" s="142"/>
      <c r="L18" s="134"/>
      <c r="M18" s="20"/>
      <c r="O18" s="134"/>
      <c r="P18" s="134"/>
      <c r="Q18" s="134"/>
    </row>
    <row r="19" spans="1:17" ht="13.5" thickBot="1" x14ac:dyDescent="0.25">
      <c r="A19" s="12">
        <v>5451</v>
      </c>
      <c r="B19" s="69" t="s">
        <v>197</v>
      </c>
      <c r="C19" s="141">
        <v>749.18</v>
      </c>
      <c r="D19" s="16">
        <v>663.39</v>
      </c>
      <c r="E19" s="16">
        <v>612.65</v>
      </c>
      <c r="F19" s="16">
        <v>739.69</v>
      </c>
      <c r="G19" s="16">
        <v>600.12</v>
      </c>
      <c r="H19" s="16">
        <v>789.61</v>
      </c>
      <c r="I19" s="349">
        <v>381.68</v>
      </c>
      <c r="J19" s="133">
        <v>1000</v>
      </c>
      <c r="K19" s="141"/>
      <c r="L19" s="133">
        <v>500</v>
      </c>
      <c r="M19" s="17"/>
      <c r="O19" s="133"/>
      <c r="P19" s="133"/>
      <c r="Q19" s="133"/>
    </row>
    <row r="20" spans="1:17" x14ac:dyDescent="0.2">
      <c r="A20" s="12"/>
      <c r="B20" s="18" t="s">
        <v>442</v>
      </c>
      <c r="C20" s="19">
        <f t="shared" ref="C20:K20" si="0">SUM(C10:C19)</f>
        <v>32826.5</v>
      </c>
      <c r="D20" s="19">
        <f t="shared" si="0"/>
        <v>53628.34</v>
      </c>
      <c r="E20" s="19">
        <f t="shared" si="0"/>
        <v>50488.08</v>
      </c>
      <c r="F20" s="19">
        <f>SUM(F10:F19)</f>
        <v>38543.740000000005</v>
      </c>
      <c r="G20" s="19">
        <f>SUM(G10:G19)</f>
        <v>44187.87</v>
      </c>
      <c r="H20" s="19">
        <f>SUM(H10:H19)</f>
        <v>52812.590000000004</v>
      </c>
      <c r="I20" s="136">
        <f>SUM(I10:I19)</f>
        <v>55098.5</v>
      </c>
      <c r="J20" s="134">
        <f t="shared" ref="J20" si="1">SUM(J10:J19)</f>
        <v>67000</v>
      </c>
      <c r="K20" s="19">
        <f t="shared" si="0"/>
        <v>13009.509999999998</v>
      </c>
      <c r="L20" s="134">
        <f t="shared" ref="L20" si="2">SUM(L10:L19)</f>
        <v>52450</v>
      </c>
      <c r="M20" s="134">
        <f>SUM(M10:M19)</f>
        <v>0</v>
      </c>
      <c r="O20" s="134">
        <f>SUM(O10:O19)</f>
        <v>0</v>
      </c>
      <c r="P20" s="134">
        <f>SUM(P10:P19)</f>
        <v>0</v>
      </c>
      <c r="Q20" s="134">
        <f>SUM(Q10:Q19)</f>
        <v>0</v>
      </c>
    </row>
    <row r="21" spans="1:17" x14ac:dyDescent="0.2">
      <c r="A21" s="12"/>
      <c r="B21" s="13"/>
      <c r="C21" s="19"/>
      <c r="D21" s="19"/>
      <c r="E21" s="19"/>
      <c r="F21" s="19"/>
      <c r="G21" s="19"/>
      <c r="H21" s="19"/>
      <c r="I21" s="19"/>
      <c r="J21" s="38"/>
      <c r="K21" s="19"/>
      <c r="L21" s="38"/>
      <c r="M21" s="38"/>
      <c r="O21" s="38"/>
      <c r="P21" s="38"/>
      <c r="Q21" s="38"/>
    </row>
    <row r="22" spans="1:17" x14ac:dyDescent="0.2">
      <c r="A22" s="12">
        <v>5710</v>
      </c>
      <c r="B22" s="13" t="s">
        <v>223</v>
      </c>
      <c r="C22" s="19">
        <v>15000</v>
      </c>
      <c r="D22" s="19">
        <v>15000</v>
      </c>
      <c r="E22" s="19">
        <v>15000</v>
      </c>
      <c r="F22" s="19">
        <v>10000</v>
      </c>
      <c r="G22" s="19">
        <v>1000</v>
      </c>
      <c r="H22" s="19">
        <v>10000</v>
      </c>
      <c r="I22" s="136">
        <v>10000</v>
      </c>
      <c r="J22" s="262">
        <v>10000</v>
      </c>
      <c r="K22" s="19"/>
      <c r="L22" s="262">
        <f>+O22</f>
        <v>10000</v>
      </c>
      <c r="M22" s="262"/>
      <c r="O22" s="262">
        <v>10000</v>
      </c>
      <c r="P22" s="262">
        <v>10000</v>
      </c>
      <c r="Q22" s="262"/>
    </row>
    <row r="23" spans="1:17" x14ac:dyDescent="0.2">
      <c r="A23" s="12">
        <v>5711</v>
      </c>
      <c r="B23" s="13" t="s">
        <v>387</v>
      </c>
      <c r="C23" s="14">
        <v>15000</v>
      </c>
      <c r="D23" s="14">
        <v>15000</v>
      </c>
      <c r="E23" s="14">
        <v>15000</v>
      </c>
      <c r="F23" s="14">
        <v>15000</v>
      </c>
      <c r="G23" s="14">
        <v>15000</v>
      </c>
      <c r="H23" s="14">
        <v>15000</v>
      </c>
      <c r="I23" s="136">
        <v>15000</v>
      </c>
      <c r="J23" s="262">
        <v>15000</v>
      </c>
      <c r="K23" s="19">
        <v>15000</v>
      </c>
      <c r="L23" s="262">
        <f>+O23</f>
        <v>15000</v>
      </c>
      <c r="M23" s="44"/>
      <c r="O23" s="44">
        <v>15000</v>
      </c>
      <c r="P23" s="44">
        <v>15000</v>
      </c>
      <c r="Q23" s="44">
        <v>10000</v>
      </c>
    </row>
    <row r="24" spans="1:17" x14ac:dyDescent="0.2">
      <c r="A24" s="12">
        <v>5751</v>
      </c>
      <c r="B24" s="13" t="s">
        <v>224</v>
      </c>
      <c r="C24" s="14">
        <v>5125</v>
      </c>
      <c r="D24" s="14">
        <v>4562.5</v>
      </c>
      <c r="E24" s="14">
        <v>3962.5</v>
      </c>
      <c r="F24" s="14">
        <v>3325</v>
      </c>
      <c r="G24" s="14">
        <v>2875</v>
      </c>
      <c r="H24" s="14">
        <v>2425</v>
      </c>
      <c r="I24" s="136">
        <v>1975</v>
      </c>
      <c r="J24" s="262">
        <v>1500</v>
      </c>
      <c r="K24" s="14">
        <v>750</v>
      </c>
      <c r="L24" s="262">
        <f>+O24</f>
        <v>1000</v>
      </c>
      <c r="M24" s="261"/>
      <c r="O24" s="261">
        <v>1000</v>
      </c>
      <c r="P24" s="261">
        <v>500</v>
      </c>
      <c r="Q24" s="261"/>
    </row>
    <row r="25" spans="1:17" ht="13.5" thickBot="1" x14ac:dyDescent="0.25">
      <c r="A25" s="12">
        <v>5752</v>
      </c>
      <c r="B25" s="13" t="s">
        <v>388</v>
      </c>
      <c r="C25" s="16">
        <v>6775</v>
      </c>
      <c r="D25" s="16">
        <f>3200+2825</f>
        <v>6025</v>
      </c>
      <c r="E25" s="16">
        <v>5275</v>
      </c>
      <c r="F25" s="16">
        <v>4525</v>
      </c>
      <c r="G25" s="16">
        <v>3775</v>
      </c>
      <c r="H25" s="16">
        <v>3100</v>
      </c>
      <c r="I25" s="349">
        <v>2500</v>
      </c>
      <c r="J25" s="516">
        <v>1900</v>
      </c>
      <c r="K25" s="16">
        <v>1100</v>
      </c>
      <c r="L25" s="516">
        <f>+O25</f>
        <v>1300</v>
      </c>
      <c r="M25" s="45"/>
      <c r="O25" s="45">
        <f>800+500</f>
        <v>1300</v>
      </c>
      <c r="P25" s="45">
        <f>500+200</f>
        <v>700</v>
      </c>
      <c r="Q25" s="45">
        <v>200</v>
      </c>
    </row>
    <row r="26" spans="1:17" x14ac:dyDescent="0.2">
      <c r="A26" s="12"/>
      <c r="B26" s="18" t="s">
        <v>458</v>
      </c>
      <c r="C26" s="19">
        <f t="shared" ref="C26:K26" si="3">SUM(C22:C25)</f>
        <v>41900</v>
      </c>
      <c r="D26" s="19">
        <f t="shared" si="3"/>
        <v>40587.5</v>
      </c>
      <c r="E26" s="19">
        <f t="shared" si="3"/>
        <v>39237.5</v>
      </c>
      <c r="F26" s="19">
        <f>SUM(F22:F25)</f>
        <v>32850</v>
      </c>
      <c r="G26" s="19">
        <f>SUM(G22:G25)</f>
        <v>22650</v>
      </c>
      <c r="H26" s="19">
        <f>SUM(H22:H25)</f>
        <v>30525</v>
      </c>
      <c r="I26" s="19">
        <f t="shared" si="3"/>
        <v>29475</v>
      </c>
      <c r="J26" s="38">
        <f t="shared" ref="J26" si="4">SUM(J22:J25)</f>
        <v>28400</v>
      </c>
      <c r="K26" s="19">
        <f t="shared" si="3"/>
        <v>16850</v>
      </c>
      <c r="L26" s="38">
        <f t="shared" ref="L26" si="5">SUM(L22:L25)</f>
        <v>27300</v>
      </c>
      <c r="M26" s="38">
        <f>SUM(M22:M25)</f>
        <v>0</v>
      </c>
      <c r="O26" s="38">
        <f>SUM(O22:O25)</f>
        <v>27300</v>
      </c>
      <c r="P26" s="38">
        <f>SUM(P22:P25)</f>
        <v>26200</v>
      </c>
      <c r="Q26" s="38">
        <f>SUM(Q22:Q25)</f>
        <v>10200</v>
      </c>
    </row>
    <row r="27" spans="1:17" x14ac:dyDescent="0.2">
      <c r="A27" s="12"/>
      <c r="B27" s="18"/>
      <c r="C27" s="19"/>
      <c r="D27" s="19"/>
      <c r="E27" s="19"/>
      <c r="F27" s="19"/>
      <c r="G27" s="19"/>
      <c r="H27" s="19"/>
      <c r="I27" s="19"/>
      <c r="J27" s="38"/>
      <c r="K27" s="19"/>
      <c r="L27" s="38"/>
      <c r="M27" s="38"/>
    </row>
    <row r="28" spans="1:17" x14ac:dyDescent="0.2">
      <c r="A28" s="12">
        <v>5991</v>
      </c>
      <c r="B28" s="251" t="s">
        <v>1064</v>
      </c>
      <c r="C28" s="136"/>
      <c r="D28" s="136"/>
      <c r="E28" s="136"/>
      <c r="F28" s="136"/>
      <c r="G28" s="136">
        <v>3000</v>
      </c>
      <c r="H28" s="136"/>
      <c r="I28" s="136"/>
      <c r="J28" s="262"/>
      <c r="K28" s="136"/>
      <c r="L28" s="262"/>
      <c r="M28" s="262"/>
    </row>
    <row r="29" spans="1:17" x14ac:dyDescent="0.2">
      <c r="A29" s="12"/>
      <c r="B29" s="13"/>
      <c r="C29" s="14"/>
      <c r="D29" s="14"/>
      <c r="E29" s="14"/>
      <c r="F29" s="14"/>
      <c r="G29" s="14"/>
      <c r="H29" s="14"/>
      <c r="I29" s="14"/>
      <c r="J29" s="44"/>
      <c r="K29" s="14"/>
      <c r="L29" s="44"/>
      <c r="M29" s="44"/>
    </row>
    <row r="30" spans="1:17" ht="13.5" thickBot="1" x14ac:dyDescent="0.25">
      <c r="A30" s="21"/>
      <c r="B30" s="22" t="s">
        <v>398</v>
      </c>
      <c r="C30" s="23">
        <f>+C26+C20</f>
        <v>74726.5</v>
      </c>
      <c r="D30" s="23">
        <f>+D26+D20</f>
        <v>94215.84</v>
      </c>
      <c r="E30" s="23">
        <f>+E26+E20</f>
        <v>89725.58</v>
      </c>
      <c r="F30" s="23">
        <f>+F26+F20</f>
        <v>71393.740000000005</v>
      </c>
      <c r="G30" s="23">
        <f t="shared" ref="G30:L30" si="6">+G26+G20+G28</f>
        <v>69837.87</v>
      </c>
      <c r="H30" s="23">
        <f t="shared" si="6"/>
        <v>83337.59</v>
      </c>
      <c r="I30" s="23">
        <f t="shared" si="6"/>
        <v>84573.5</v>
      </c>
      <c r="J30" s="43">
        <f t="shared" si="6"/>
        <v>95400</v>
      </c>
      <c r="K30" s="23">
        <f t="shared" si="6"/>
        <v>29859.51</v>
      </c>
      <c r="L30" s="43">
        <f t="shared" si="6"/>
        <v>79750</v>
      </c>
      <c r="M30" s="43">
        <f>+L30</f>
        <v>79750</v>
      </c>
    </row>
    <row r="31" spans="1:17" ht="13.5" thickTop="1" x14ac:dyDescent="0.2">
      <c r="A31" s="28"/>
      <c r="B31" s="90"/>
      <c r="C31" s="26"/>
      <c r="D31" s="26"/>
      <c r="E31" s="26"/>
      <c r="F31" s="26"/>
      <c r="G31" s="26"/>
      <c r="H31" s="26"/>
      <c r="I31" s="26"/>
      <c r="J31" s="26"/>
      <c r="K31" s="27"/>
      <c r="L31" s="26"/>
      <c r="M31" s="25"/>
      <c r="N31" s="27"/>
    </row>
    <row r="32" spans="1:17" x14ac:dyDescent="0.2">
      <c r="A32" s="195"/>
      <c r="B32" s="161"/>
      <c r="C32" s="26"/>
      <c r="D32" s="26"/>
      <c r="E32" s="26"/>
      <c r="F32" s="26"/>
      <c r="G32" s="26"/>
      <c r="H32" s="26"/>
      <c r="I32" s="26"/>
      <c r="J32" s="26"/>
      <c r="K32" s="27"/>
      <c r="L32" s="26"/>
      <c r="M32" s="29"/>
      <c r="N32" s="27"/>
    </row>
    <row r="33" spans="1:14" ht="15.75" thickBot="1" x14ac:dyDescent="0.25">
      <c r="A33" s="102"/>
      <c r="B33" s="358"/>
      <c r="C33" s="411"/>
      <c r="D33" s="411"/>
      <c r="E33" s="411"/>
      <c r="F33" s="411"/>
      <c r="G33" s="411"/>
      <c r="H33" s="411"/>
      <c r="I33" s="412"/>
      <c r="J33" s="412"/>
      <c r="K33" s="411"/>
      <c r="L33" s="130"/>
      <c r="M33" s="358"/>
      <c r="N33" s="27"/>
    </row>
    <row r="34" spans="1:14" ht="13.5" thickTop="1" x14ac:dyDescent="0.2">
      <c r="A34" s="517"/>
      <c r="B34" s="518"/>
      <c r="C34" s="519" t="s">
        <v>122</v>
      </c>
      <c r="D34" s="520" t="s">
        <v>122</v>
      </c>
      <c r="E34" s="520" t="s">
        <v>122</v>
      </c>
      <c r="H34" s="521" t="s">
        <v>542</v>
      </c>
      <c r="I34" s="522" t="s">
        <v>9</v>
      </c>
      <c r="J34" s="523" t="s">
        <v>1073</v>
      </c>
      <c r="K34" s="522" t="s">
        <v>682</v>
      </c>
      <c r="L34" s="781"/>
      <c r="M34" s="523"/>
    </row>
    <row r="35" spans="1:14" ht="13.5" thickBot="1" x14ac:dyDescent="0.25">
      <c r="A35" s="525" t="s">
        <v>123</v>
      </c>
      <c r="B35" s="526"/>
      <c r="C35" s="580" t="s">
        <v>334</v>
      </c>
      <c r="D35" s="580" t="s">
        <v>718</v>
      </c>
      <c r="E35" s="529" t="s">
        <v>734</v>
      </c>
      <c r="H35" s="529" t="s">
        <v>899</v>
      </c>
      <c r="I35" s="529" t="s">
        <v>900</v>
      </c>
      <c r="J35" s="528" t="s">
        <v>1075</v>
      </c>
      <c r="K35" s="530" t="s">
        <v>1075</v>
      </c>
      <c r="L35" s="782"/>
      <c r="M35" s="529"/>
    </row>
    <row r="36" spans="1:14" ht="13.5" thickTop="1" x14ac:dyDescent="0.2">
      <c r="A36" s="551">
        <v>5211</v>
      </c>
      <c r="B36" s="573" t="s">
        <v>187</v>
      </c>
      <c r="C36" s="586">
        <v>11553.22</v>
      </c>
      <c r="D36" s="536">
        <v>9846.44</v>
      </c>
      <c r="E36" s="536">
        <v>11587.74</v>
      </c>
      <c r="H36" s="537">
        <f>+J10</f>
        <v>12000</v>
      </c>
      <c r="I36" s="568">
        <f>+L10</f>
        <v>12000</v>
      </c>
      <c r="J36" s="537">
        <f t="shared" ref="J36:J49" si="7">+I36-H36</f>
        <v>0</v>
      </c>
      <c r="K36" s="545" t="str">
        <f t="shared" ref="K36:K49" si="8">IF(H36+I36&lt;&gt;0,IF(H36&lt;&gt;0,IF(J36&lt;&gt;0,ROUND((+J36/H36),4),""),1),"")</f>
        <v/>
      </c>
      <c r="L36" s="783"/>
      <c r="M36" s="583"/>
    </row>
    <row r="37" spans="1:14" x14ac:dyDescent="0.2">
      <c r="A37" s="551">
        <v>5214</v>
      </c>
      <c r="B37" s="573" t="s">
        <v>710</v>
      </c>
      <c r="C37" s="586">
        <v>2192.92</v>
      </c>
      <c r="D37" s="536">
        <v>81.84</v>
      </c>
      <c r="E37" s="536">
        <v>150.22</v>
      </c>
      <c r="H37" s="537">
        <f t="shared" ref="H37:H45" si="9">+J11</f>
        <v>1000</v>
      </c>
      <c r="I37" s="568">
        <f t="shared" ref="I37:I45" si="10">+L11</f>
        <v>1000</v>
      </c>
      <c r="J37" s="543">
        <f t="shared" si="7"/>
        <v>0</v>
      </c>
      <c r="K37" s="545" t="str">
        <f t="shared" si="8"/>
        <v/>
      </c>
      <c r="L37" s="784"/>
      <c r="M37" s="539"/>
    </row>
    <row r="38" spans="1:14" x14ac:dyDescent="0.2">
      <c r="A38" s="551">
        <v>5231</v>
      </c>
      <c r="B38" s="573" t="s">
        <v>189</v>
      </c>
      <c r="C38" s="586">
        <v>546</v>
      </c>
      <c r="D38" s="536">
        <v>591</v>
      </c>
      <c r="E38" s="536">
        <v>482</v>
      </c>
      <c r="H38" s="537">
        <f t="shared" si="9"/>
        <v>1000</v>
      </c>
      <c r="I38" s="568">
        <f t="shared" si="10"/>
        <v>1000</v>
      </c>
      <c r="J38" s="543">
        <f t="shared" si="7"/>
        <v>0</v>
      </c>
      <c r="K38" s="545" t="str">
        <f t="shared" si="8"/>
        <v/>
      </c>
      <c r="L38" s="784"/>
      <c r="M38" s="539"/>
    </row>
    <row r="39" spans="1:14" x14ac:dyDescent="0.2">
      <c r="A39" s="551">
        <v>5232</v>
      </c>
      <c r="B39" s="573" t="s">
        <v>190</v>
      </c>
      <c r="C39" s="586">
        <v>360</v>
      </c>
      <c r="D39" s="536">
        <v>373.2</v>
      </c>
      <c r="E39" s="536">
        <v>373.2</v>
      </c>
      <c r="H39" s="537">
        <f t="shared" si="9"/>
        <v>1000</v>
      </c>
      <c r="I39" s="568">
        <f t="shared" si="10"/>
        <v>1200</v>
      </c>
      <c r="J39" s="543">
        <f t="shared" si="7"/>
        <v>200</v>
      </c>
      <c r="K39" s="545">
        <f t="shared" si="8"/>
        <v>0.2</v>
      </c>
      <c r="L39" s="784" t="s">
        <v>1595</v>
      </c>
      <c r="M39" s="539"/>
    </row>
    <row r="40" spans="1:14" x14ac:dyDescent="0.2">
      <c r="A40" s="551">
        <v>5242</v>
      </c>
      <c r="B40" s="573" t="s">
        <v>572</v>
      </c>
      <c r="C40" s="586">
        <v>3491.97</v>
      </c>
      <c r="D40" s="536">
        <v>21296.12</v>
      </c>
      <c r="E40" s="536">
        <v>20156.25</v>
      </c>
      <c r="H40" s="537">
        <f t="shared" si="9"/>
        <v>30000</v>
      </c>
      <c r="I40" s="568">
        <f t="shared" si="10"/>
        <v>30000</v>
      </c>
      <c r="J40" s="543">
        <f t="shared" si="7"/>
        <v>0</v>
      </c>
      <c r="K40" s="545" t="str">
        <f t="shared" si="8"/>
        <v/>
      </c>
      <c r="L40" s="784"/>
      <c r="M40" s="539"/>
    </row>
    <row r="41" spans="1:14" x14ac:dyDescent="0.2">
      <c r="A41" s="551">
        <v>5279</v>
      </c>
      <c r="B41" s="573" t="s">
        <v>126</v>
      </c>
      <c r="C41" s="586">
        <v>11000</v>
      </c>
      <c r="D41" s="536">
        <v>14000</v>
      </c>
      <c r="E41" s="536">
        <v>13000</v>
      </c>
      <c r="H41" s="537">
        <f t="shared" si="9"/>
        <v>15000</v>
      </c>
      <c r="I41" s="568">
        <f t="shared" si="10"/>
        <v>0</v>
      </c>
      <c r="J41" s="543">
        <f t="shared" si="7"/>
        <v>-15000</v>
      </c>
      <c r="K41" s="545">
        <f t="shared" si="8"/>
        <v>-1</v>
      </c>
      <c r="L41" s="784" t="s">
        <v>1596</v>
      </c>
      <c r="M41" s="539"/>
    </row>
    <row r="42" spans="1:14" x14ac:dyDescent="0.2">
      <c r="A42" s="551">
        <v>5315</v>
      </c>
      <c r="B42" s="573" t="s">
        <v>135</v>
      </c>
      <c r="C42" s="586">
        <v>2095.8000000000002</v>
      </c>
      <c r="D42" s="536">
        <v>5730.83</v>
      </c>
      <c r="E42" s="536">
        <v>3042.64</v>
      </c>
      <c r="H42" s="537">
        <f t="shared" si="9"/>
        <v>6000</v>
      </c>
      <c r="I42" s="568">
        <f t="shared" si="10"/>
        <v>6000</v>
      </c>
      <c r="J42" s="543">
        <f t="shared" si="7"/>
        <v>0</v>
      </c>
      <c r="K42" s="545" t="str">
        <f t="shared" si="8"/>
        <v/>
      </c>
      <c r="L42" s="784"/>
      <c r="M42" s="539"/>
    </row>
    <row r="43" spans="1:14" x14ac:dyDescent="0.2">
      <c r="A43" s="551">
        <v>5341</v>
      </c>
      <c r="B43" s="573" t="s">
        <v>136</v>
      </c>
      <c r="C43" s="586">
        <v>795.95</v>
      </c>
      <c r="D43" s="536">
        <v>1045.52</v>
      </c>
      <c r="E43" s="536">
        <v>1083.3800000000001</v>
      </c>
      <c r="H43" s="537">
        <f t="shared" si="9"/>
        <v>0</v>
      </c>
      <c r="I43" s="568">
        <f t="shared" si="10"/>
        <v>750</v>
      </c>
      <c r="J43" s="543">
        <f t="shared" si="7"/>
        <v>750</v>
      </c>
      <c r="K43" s="545">
        <f t="shared" si="8"/>
        <v>1</v>
      </c>
      <c r="L43" s="784" t="s">
        <v>1597</v>
      </c>
      <c r="M43" s="539"/>
    </row>
    <row r="44" spans="1:14" x14ac:dyDescent="0.2">
      <c r="A44" s="551">
        <v>5420</v>
      </c>
      <c r="B44" s="573" t="s">
        <v>139</v>
      </c>
      <c r="C44" s="586">
        <v>41.46</v>
      </c>
      <c r="D44" s="536">
        <v>0</v>
      </c>
      <c r="E44" s="536"/>
      <c r="H44" s="537">
        <f t="shared" si="9"/>
        <v>0</v>
      </c>
      <c r="I44" s="568">
        <f t="shared" si="10"/>
        <v>0</v>
      </c>
      <c r="J44" s="543">
        <f t="shared" si="7"/>
        <v>0</v>
      </c>
      <c r="K44" s="545" t="str">
        <f t="shared" si="8"/>
        <v/>
      </c>
      <c r="L44" s="784"/>
      <c r="M44" s="539"/>
    </row>
    <row r="45" spans="1:14" ht="13.5" thickBot="1" x14ac:dyDescent="0.25">
      <c r="A45" s="551">
        <v>5451</v>
      </c>
      <c r="B45" s="573" t="s">
        <v>197</v>
      </c>
      <c r="C45" s="591">
        <v>749.18</v>
      </c>
      <c r="D45" s="542">
        <v>663.39</v>
      </c>
      <c r="E45" s="542">
        <v>612.65</v>
      </c>
      <c r="H45" s="537">
        <f t="shared" si="9"/>
        <v>1000</v>
      </c>
      <c r="I45" s="568">
        <f t="shared" si="10"/>
        <v>500</v>
      </c>
      <c r="J45" s="543">
        <f t="shared" si="7"/>
        <v>-500</v>
      </c>
      <c r="K45" s="545">
        <f t="shared" si="8"/>
        <v>-0.5</v>
      </c>
      <c r="L45" s="784" t="s">
        <v>1598</v>
      </c>
      <c r="M45" s="539"/>
    </row>
    <row r="46" spans="1:14" x14ac:dyDescent="0.2">
      <c r="A46" s="551">
        <v>5710</v>
      </c>
      <c r="B46" s="540" t="s">
        <v>223</v>
      </c>
      <c r="C46" s="536">
        <v>15000</v>
      </c>
      <c r="D46" s="536">
        <v>15000</v>
      </c>
      <c r="E46" s="536">
        <v>15000</v>
      </c>
      <c r="H46" s="569">
        <f>+J22</f>
        <v>10000</v>
      </c>
      <c r="I46" s="569">
        <f>+L22</f>
        <v>10000</v>
      </c>
      <c r="J46" s="543">
        <f t="shared" si="7"/>
        <v>0</v>
      </c>
      <c r="K46" s="545" t="str">
        <f t="shared" si="8"/>
        <v/>
      </c>
      <c r="L46" s="785"/>
      <c r="M46" s="592"/>
    </row>
    <row r="47" spans="1:14" x14ac:dyDescent="0.2">
      <c r="A47" s="551">
        <v>5711</v>
      </c>
      <c r="B47" s="540" t="s">
        <v>387</v>
      </c>
      <c r="C47" s="544">
        <v>15000</v>
      </c>
      <c r="D47" s="544">
        <v>15000</v>
      </c>
      <c r="E47" s="544">
        <v>15000</v>
      </c>
      <c r="H47" s="569">
        <f t="shared" ref="H47:H49" si="11">+J23</f>
        <v>15000</v>
      </c>
      <c r="I47" s="569">
        <f t="shared" ref="I47:I49" si="12">+L23</f>
        <v>15000</v>
      </c>
      <c r="J47" s="543">
        <f t="shared" si="7"/>
        <v>0</v>
      </c>
      <c r="K47" s="545" t="str">
        <f t="shared" si="8"/>
        <v/>
      </c>
      <c r="L47" s="785"/>
      <c r="M47" s="592"/>
    </row>
    <row r="48" spans="1:14" x14ac:dyDescent="0.2">
      <c r="A48" s="551">
        <v>5751</v>
      </c>
      <c r="B48" s="540" t="s">
        <v>224</v>
      </c>
      <c r="C48" s="544">
        <v>5125</v>
      </c>
      <c r="D48" s="544">
        <v>4562.5</v>
      </c>
      <c r="E48" s="544">
        <v>3962.5</v>
      </c>
      <c r="H48" s="569">
        <f t="shared" si="11"/>
        <v>1500</v>
      </c>
      <c r="I48" s="569">
        <f t="shared" si="12"/>
        <v>1000</v>
      </c>
      <c r="J48" s="543">
        <f t="shared" si="7"/>
        <v>-500</v>
      </c>
      <c r="K48" s="545">
        <f t="shared" si="8"/>
        <v>-0.33329999999999999</v>
      </c>
      <c r="L48" s="785" t="s">
        <v>1599</v>
      </c>
      <c r="M48" s="592"/>
    </row>
    <row r="49" spans="1:13" ht="13.5" thickBot="1" x14ac:dyDescent="0.25">
      <c r="A49" s="551">
        <v>5752</v>
      </c>
      <c r="B49" s="540" t="s">
        <v>388</v>
      </c>
      <c r="C49" s="542">
        <v>6775</v>
      </c>
      <c r="D49" s="542">
        <f>3200+2825</f>
        <v>6025</v>
      </c>
      <c r="E49" s="542">
        <v>5275</v>
      </c>
      <c r="H49" s="569">
        <f t="shared" si="11"/>
        <v>1900</v>
      </c>
      <c r="I49" s="569">
        <f t="shared" si="12"/>
        <v>1300</v>
      </c>
      <c r="J49" s="543">
        <f t="shared" si="7"/>
        <v>-600</v>
      </c>
      <c r="K49" s="545">
        <f t="shared" si="8"/>
        <v>-0.31580000000000003</v>
      </c>
      <c r="L49" s="785" t="s">
        <v>1599</v>
      </c>
      <c r="M49" s="592"/>
    </row>
    <row r="51" spans="1:13" x14ac:dyDescent="0.2">
      <c r="B51" s="4" t="s">
        <v>1600</v>
      </c>
      <c r="C51" s="25"/>
      <c r="D51" s="25"/>
      <c r="E51" s="25"/>
      <c r="F51" s="25"/>
      <c r="G51" s="25"/>
      <c r="H51" s="849">
        <f>SUM(H36:H50)</f>
        <v>95400</v>
      </c>
      <c r="I51" s="849">
        <f>SUM(I36:I50)</f>
        <v>79750</v>
      </c>
      <c r="J51" s="208">
        <f t="shared" ref="J51" si="13">+I51-H51</f>
        <v>-15650</v>
      </c>
      <c r="K51" s="850">
        <f t="shared" ref="K51" si="14">IF(H51+I51&lt;&gt;0,IF(H51&lt;&gt;0,IF(J51&lt;&gt;0,ROUND((+J51/H51),4),""),1),"")</f>
        <v>-0.16400000000000001</v>
      </c>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2" orientation="landscape" horizontalDpi="1200" verticalDpi="1200" r:id="rId1"/>
  <headerFooter alignWithMargins="0">
    <oddFooter>&amp;L&amp;D  &amp;T&amp;C&amp;F&amp;R&amp;A</oddFooter>
  </headerFooter>
  <rowBreaks count="1" manualBreakCount="1">
    <brk id="3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272"/>
  <sheetViews>
    <sheetView zoomScale="75" zoomScaleNormal="100" workbookViewId="0">
      <pane xSplit="2" ySplit="3" topLeftCell="I153" activePane="bottomRight" state="frozen"/>
      <selection activeCell="B49" sqref="B49"/>
      <selection pane="topRight" activeCell="B49" sqref="B49"/>
      <selection pane="bottomLeft" activeCell="B49" sqref="B49"/>
      <selection pane="bottomRight" activeCell="K13" sqref="K13"/>
    </sheetView>
  </sheetViews>
  <sheetFormatPr defaultRowHeight="12.75" x14ac:dyDescent="0.2"/>
  <cols>
    <col min="1" max="1" width="11.6640625" customWidth="1"/>
    <col min="2" max="2" width="47.1640625" customWidth="1"/>
    <col min="3" max="8" width="16.5" hidden="1" customWidth="1"/>
    <col min="9" max="10" width="16.5" customWidth="1"/>
    <col min="11" max="11" width="17.6640625" style="2" customWidth="1"/>
    <col min="12" max="12" width="17.1640625" style="75" customWidth="1"/>
    <col min="13" max="13" width="15.6640625" style="75" customWidth="1"/>
    <col min="14" max="14" width="13.1640625" style="2" customWidth="1"/>
    <col min="15" max="15" width="14.1640625" style="2" customWidth="1"/>
    <col min="16" max="16" width="13.5" style="2" customWidth="1"/>
    <col min="17" max="17" width="15.1640625" style="2" customWidth="1"/>
    <col min="18" max="18" width="13.83203125" style="2" customWidth="1"/>
    <col min="19" max="19" width="16" style="2" customWidth="1"/>
    <col min="20" max="20" width="12.83203125" style="2" customWidth="1"/>
    <col min="21" max="21" width="9.33203125" style="75"/>
    <col min="22" max="22" width="11.6640625" bestFit="1" customWidth="1"/>
  </cols>
  <sheetData>
    <row r="1" spans="1:20" x14ac:dyDescent="0.2">
      <c r="A1" s="410" t="s">
        <v>1418</v>
      </c>
      <c r="B1" s="254" t="s">
        <v>1397</v>
      </c>
      <c r="C1" s="379" t="s">
        <v>332</v>
      </c>
      <c r="D1" s="379" t="s">
        <v>78</v>
      </c>
      <c r="E1" s="379" t="s">
        <v>1141</v>
      </c>
      <c r="F1" s="379" t="s">
        <v>791</v>
      </c>
      <c r="G1" s="379" t="s">
        <v>881</v>
      </c>
      <c r="H1" s="379" t="s">
        <v>897</v>
      </c>
      <c r="I1" s="379" t="s">
        <v>898</v>
      </c>
      <c r="J1" s="397" t="s">
        <v>899</v>
      </c>
      <c r="K1" s="397" t="s">
        <v>900</v>
      </c>
      <c r="L1" s="397" t="s">
        <v>900</v>
      </c>
      <c r="M1" s="3" t="s">
        <v>545</v>
      </c>
      <c r="N1" s="151"/>
      <c r="O1" s="3"/>
      <c r="P1" s="380" t="s">
        <v>872</v>
      </c>
      <c r="R1" s="3"/>
      <c r="S1" s="3"/>
      <c r="T1" s="75"/>
    </row>
    <row r="2" spans="1:20" x14ac:dyDescent="0.2">
      <c r="B2" s="2">
        <f>+L123</f>
        <v>25019931</v>
      </c>
      <c r="C2" s="150" t="s">
        <v>122</v>
      </c>
      <c r="D2" s="150" t="s">
        <v>122</v>
      </c>
      <c r="E2" s="150" t="s">
        <v>122</v>
      </c>
      <c r="F2" s="150" t="s">
        <v>122</v>
      </c>
      <c r="G2" s="150" t="s">
        <v>122</v>
      </c>
      <c r="H2" s="150" t="s">
        <v>122</v>
      </c>
      <c r="I2" s="150" t="s">
        <v>122</v>
      </c>
      <c r="J2" s="150" t="s">
        <v>542</v>
      </c>
      <c r="K2" s="151" t="s">
        <v>467</v>
      </c>
      <c r="L2" s="3" t="s">
        <v>172</v>
      </c>
      <c r="M2" s="3" t="s">
        <v>546</v>
      </c>
      <c r="N2" s="151" t="s">
        <v>425</v>
      </c>
      <c r="O2" s="3" t="s">
        <v>547</v>
      </c>
      <c r="P2" s="3" t="s">
        <v>465</v>
      </c>
      <c r="Q2" s="3" t="s">
        <v>549</v>
      </c>
      <c r="R2" s="3" t="s">
        <v>190</v>
      </c>
      <c r="S2" s="3" t="s">
        <v>190</v>
      </c>
      <c r="T2" s="151" t="s">
        <v>242</v>
      </c>
    </row>
    <row r="3" spans="1:20" x14ac:dyDescent="0.2">
      <c r="K3" s="75" t="s">
        <v>495</v>
      </c>
      <c r="L3" s="2"/>
      <c r="M3" s="3"/>
      <c r="N3" s="151"/>
      <c r="O3" s="3" t="s">
        <v>548</v>
      </c>
      <c r="P3" s="3" t="s">
        <v>548</v>
      </c>
      <c r="Q3" s="3" t="s">
        <v>550</v>
      </c>
      <c r="R3" s="3" t="s">
        <v>550</v>
      </c>
      <c r="S3" s="3" t="s">
        <v>415</v>
      </c>
      <c r="T3" s="151" t="s">
        <v>415</v>
      </c>
    </row>
    <row r="4" spans="1:20" x14ac:dyDescent="0.2">
      <c r="K4" s="151"/>
      <c r="L4" s="3"/>
      <c r="M4" s="2"/>
      <c r="N4" s="75"/>
      <c r="P4" s="2">
        <v>1099825</v>
      </c>
      <c r="Q4" s="3"/>
      <c r="T4" s="75"/>
    </row>
    <row r="5" spans="1:20" x14ac:dyDescent="0.2">
      <c r="B5" s="410" t="s">
        <v>110</v>
      </c>
      <c r="C5" s="410"/>
      <c r="D5" s="410"/>
      <c r="E5" s="410"/>
      <c r="F5" s="410"/>
      <c r="G5" s="410"/>
      <c r="H5" s="410"/>
      <c r="I5" s="410"/>
      <c r="J5" s="410"/>
      <c r="K5" s="75"/>
      <c r="L5" s="2"/>
      <c r="M5" s="2"/>
      <c r="N5" s="75"/>
      <c r="T5" s="75"/>
    </row>
    <row r="6" spans="1:20" x14ac:dyDescent="0.2">
      <c r="B6" t="s">
        <v>111</v>
      </c>
      <c r="C6" s="75">
        <f>+'Revenue Projections Detail'!B16</f>
        <v>13501567</v>
      </c>
      <c r="D6" s="75">
        <f>+'Revenue Projections Detail'!C16</f>
        <v>14007061</v>
      </c>
      <c r="E6" s="75">
        <f>+'Revenue Projections Detail'!D16</f>
        <v>14424463</v>
      </c>
      <c r="F6" s="75">
        <f>+'Revenue Projections Detail'!E16</f>
        <v>14913142</v>
      </c>
      <c r="G6" s="75">
        <f>+'Revenue Projections Detail'!F16</f>
        <v>15498658</v>
      </c>
      <c r="H6" s="75">
        <f>+'Revenue Projections Detail'!G16</f>
        <v>16526913.970000001</v>
      </c>
      <c r="I6" s="75">
        <f>+'Revenue Projections Detail'!H16</f>
        <v>17512031</v>
      </c>
      <c r="J6" s="75">
        <f>+'Revenue Projections Detail'!J16</f>
        <v>18354210</v>
      </c>
      <c r="K6" s="75">
        <f>+'Revenue Projections Detail'!K16</f>
        <v>19598503</v>
      </c>
      <c r="L6" s="2">
        <f>+K6</f>
        <v>19598503</v>
      </c>
      <c r="M6" s="2">
        <f>+L6</f>
        <v>19598503</v>
      </c>
      <c r="N6" s="75"/>
      <c r="T6" s="75"/>
    </row>
    <row r="7" spans="1:20" x14ac:dyDescent="0.2">
      <c r="B7" t="s">
        <v>112</v>
      </c>
      <c r="C7" s="75">
        <f>+'Revenue Projections Detail'!B28</f>
        <v>1372617</v>
      </c>
      <c r="D7" s="75">
        <f>+'Revenue Projections Detail'!C28</f>
        <v>1417661</v>
      </c>
      <c r="E7" s="75">
        <f>+'Revenue Projections Detail'!D28</f>
        <v>1527291</v>
      </c>
      <c r="F7" s="75">
        <f>+'Revenue Projections Detail'!E28</f>
        <v>1542491</v>
      </c>
      <c r="G7" s="75">
        <f>+'Revenue Projections Detail'!F28</f>
        <v>1584712</v>
      </c>
      <c r="H7" s="75">
        <f>+'Revenue Projections Detail'!G28</f>
        <v>1613506</v>
      </c>
      <c r="I7" s="75">
        <f>+'Revenue Projections Detail'!H28</f>
        <v>1675209</v>
      </c>
      <c r="J7" s="75">
        <f>+'Revenue Projections Detail'!J28</f>
        <v>1715218</v>
      </c>
      <c r="K7" s="75">
        <f>+'Revenue Projections Detail'!K28</f>
        <v>1795836</v>
      </c>
      <c r="L7" s="2">
        <f t="shared" ref="L7:L22" si="0">+K7</f>
        <v>1795836</v>
      </c>
      <c r="M7" s="2">
        <f>+L7</f>
        <v>1795836</v>
      </c>
      <c r="N7" s="75"/>
      <c r="T7" s="75"/>
    </row>
    <row r="8" spans="1:20" x14ac:dyDescent="0.2">
      <c r="B8" t="s">
        <v>113</v>
      </c>
      <c r="C8" s="75">
        <f>+'Revenue Projections Detail'!B55</f>
        <v>0</v>
      </c>
      <c r="D8" s="75">
        <f>+'Revenue Projections Detail'!C55</f>
        <v>0</v>
      </c>
      <c r="E8" s="75">
        <f>+'Revenue Projections Detail'!D55</f>
        <v>0</v>
      </c>
      <c r="F8" s="75">
        <f>+'Revenue Projections Detail'!E55</f>
        <v>0</v>
      </c>
      <c r="G8" s="75">
        <f>+'Revenue Projections Detail'!F55</f>
        <v>0</v>
      </c>
      <c r="H8" s="75">
        <f>+'Revenue Projections Detail'!G55</f>
        <v>1784386</v>
      </c>
      <c r="I8" s="75">
        <f>+'Revenue Projections Detail'!H55</f>
        <v>1923249</v>
      </c>
      <c r="J8" s="75">
        <f>+'Revenue Projections Detail'!J55</f>
        <v>1636076</v>
      </c>
      <c r="K8" s="75">
        <f>+'Revenue Projections Detail'!K55</f>
        <v>1718900</v>
      </c>
      <c r="L8" s="2">
        <f t="shared" si="0"/>
        <v>1718900</v>
      </c>
      <c r="M8" s="2">
        <f>+L8</f>
        <v>1718900</v>
      </c>
      <c r="N8" s="75"/>
      <c r="T8" s="75"/>
    </row>
    <row r="9" spans="1:20" x14ac:dyDescent="0.2">
      <c r="B9" t="s">
        <v>114</v>
      </c>
      <c r="C9" s="75">
        <f>+'Revenue Projections Detail'!B72</f>
        <v>250000</v>
      </c>
      <c r="D9" s="75">
        <f>+'Revenue Projections Detail'!C72</f>
        <v>250000</v>
      </c>
      <c r="E9" s="75">
        <f>+'Revenue Projections Detail'!D72</f>
        <v>250000</v>
      </c>
      <c r="F9" s="75">
        <f>+'Revenue Projections Detail'!E72</f>
        <v>250000</v>
      </c>
      <c r="G9" s="75">
        <f>+'Revenue Projections Detail'!F72</f>
        <v>250000</v>
      </c>
      <c r="H9" s="75">
        <f>+'Revenue Projections Detail'!G72</f>
        <v>200000</v>
      </c>
      <c r="I9" s="75">
        <f>+'Revenue Projections Detail'!H72</f>
        <v>150000</v>
      </c>
      <c r="J9" s="75">
        <f>+'Revenue Projections Detail'!J72</f>
        <v>100000</v>
      </c>
      <c r="K9" s="75">
        <f>+'Revenue Projections Detail'!K72</f>
        <v>0</v>
      </c>
      <c r="L9" s="2">
        <f t="shared" si="0"/>
        <v>0</v>
      </c>
      <c r="M9" s="2"/>
      <c r="N9" s="75">
        <f>+L9</f>
        <v>0</v>
      </c>
      <c r="T9" s="75"/>
    </row>
    <row r="10" spans="1:20" x14ac:dyDescent="0.2">
      <c r="B10" t="s">
        <v>115</v>
      </c>
      <c r="C10" s="75"/>
      <c r="D10" s="75"/>
      <c r="E10" s="75"/>
      <c r="F10" s="75"/>
      <c r="G10" s="75"/>
      <c r="H10" s="75"/>
      <c r="I10" s="75"/>
      <c r="J10" s="75"/>
      <c r="K10" s="75"/>
      <c r="L10" s="2">
        <f t="shared" si="0"/>
        <v>0</v>
      </c>
      <c r="M10" s="2"/>
      <c r="N10" s="75"/>
      <c r="T10" s="75"/>
    </row>
    <row r="11" spans="1:20" x14ac:dyDescent="0.2">
      <c r="B11" t="s">
        <v>1049</v>
      </c>
      <c r="C11" s="75">
        <f>+'Revenue Projections Detail'!B59</f>
        <v>0</v>
      </c>
      <c r="D11" s="75">
        <f>+'Revenue Projections Detail'!C59</f>
        <v>0</v>
      </c>
      <c r="E11" s="75">
        <f>+'Revenue Projections Detail'!D59</f>
        <v>0</v>
      </c>
      <c r="F11" s="75">
        <f>+'Revenue Projections Detail'!E59</f>
        <v>0</v>
      </c>
      <c r="G11" s="75">
        <f>+'Revenue Projections Detail'!F59</f>
        <v>0</v>
      </c>
      <c r="H11" s="75">
        <f>+'Revenue Projections Detail'!G59</f>
        <v>22850</v>
      </c>
      <c r="I11" s="75">
        <f>+'Revenue Projections Detail'!H59</f>
        <v>0</v>
      </c>
      <c r="J11" s="75">
        <f>+'Revenue Projections Detail'!J59</f>
        <v>0</v>
      </c>
      <c r="K11" s="75">
        <f>+'Revenue Projections Detail'!K59</f>
        <v>15439</v>
      </c>
      <c r="L11" s="2">
        <f t="shared" si="0"/>
        <v>15439</v>
      </c>
      <c r="M11" s="2"/>
      <c r="N11" s="75"/>
      <c r="O11" s="2">
        <f>+L11</f>
        <v>15439</v>
      </c>
      <c r="T11" s="75"/>
    </row>
    <row r="12" spans="1:20" x14ac:dyDescent="0.2">
      <c r="B12" s="254" t="s">
        <v>1380</v>
      </c>
      <c r="C12" s="75"/>
      <c r="D12" s="75"/>
      <c r="E12" s="75"/>
      <c r="F12" s="75"/>
      <c r="G12" s="75"/>
      <c r="H12" s="75"/>
      <c r="I12" s="75"/>
      <c r="J12" s="75"/>
      <c r="K12" s="75">
        <f>+'Revenue Projections Detail'!K62</f>
        <v>47.3</v>
      </c>
      <c r="L12" s="2">
        <f>+K12</f>
        <v>47.3</v>
      </c>
      <c r="M12" s="2"/>
      <c r="N12" s="75"/>
      <c r="O12" s="2">
        <f>+L12</f>
        <v>47.3</v>
      </c>
      <c r="T12" s="75"/>
    </row>
    <row r="13" spans="1:20" x14ac:dyDescent="0.2">
      <c r="B13" s="254" t="s">
        <v>1656</v>
      </c>
      <c r="C13" s="75"/>
      <c r="D13" s="75"/>
      <c r="E13" s="75"/>
      <c r="F13" s="75"/>
      <c r="G13" s="75"/>
      <c r="H13" s="75"/>
      <c r="I13" s="75"/>
      <c r="J13" s="75"/>
      <c r="K13" s="2">
        <f>+'Revenue Projections Detail'!K63</f>
        <v>821</v>
      </c>
      <c r="L13" s="75">
        <f>+K13</f>
        <v>821</v>
      </c>
      <c r="M13" s="2"/>
      <c r="N13" s="75"/>
      <c r="O13" s="2">
        <f>+K13</f>
        <v>821</v>
      </c>
      <c r="T13" s="75"/>
    </row>
    <row r="14" spans="1:20" x14ac:dyDescent="0.2">
      <c r="B14" s="254" t="s">
        <v>1381</v>
      </c>
      <c r="C14" s="75">
        <f>+'Revenue Projections Detail'!B67</f>
        <v>89400</v>
      </c>
      <c r="D14" s="75">
        <f>+'Revenue Projections Detail'!C67</f>
        <v>94215.84</v>
      </c>
      <c r="E14" s="75">
        <f>+'Revenue Projections Detail'!D67</f>
        <v>84573.5</v>
      </c>
      <c r="F14" s="75">
        <f>+'Revenue Projections Detail'!E67</f>
        <v>80350</v>
      </c>
      <c r="G14" s="75">
        <f>+'Revenue Projections Detail'!F67</f>
        <v>102150</v>
      </c>
      <c r="H14" s="75">
        <f>+'Revenue Projections Detail'!G67</f>
        <v>97525</v>
      </c>
      <c r="I14" s="75">
        <f>+'Revenue Projections Detail'!H67</f>
        <v>234573.5</v>
      </c>
      <c r="J14" s="75">
        <f>+'Revenue Projections Detail'!J67</f>
        <v>95400</v>
      </c>
      <c r="K14" s="75">
        <f>+'Revenue Projections Detail'!K67</f>
        <v>79750</v>
      </c>
      <c r="L14" s="2">
        <f t="shared" si="0"/>
        <v>79750</v>
      </c>
      <c r="M14" s="2"/>
      <c r="N14" s="75"/>
      <c r="O14" s="2">
        <f>+L14</f>
        <v>79750</v>
      </c>
      <c r="T14" s="75"/>
    </row>
    <row r="15" spans="1:20" x14ac:dyDescent="0.2">
      <c r="B15" t="s">
        <v>507</v>
      </c>
      <c r="C15" s="75">
        <f>+'Revenue Projections Detail'!B71</f>
        <v>0</v>
      </c>
      <c r="D15" s="75">
        <f>+'Revenue Projections Detail'!C71</f>
        <v>0</v>
      </c>
      <c r="E15" s="75">
        <f>+'Revenue Projections Detail'!D71</f>
        <v>0</v>
      </c>
      <c r="F15" s="75">
        <f>+'Revenue Projections Detail'!E71</f>
        <v>0</v>
      </c>
      <c r="G15" s="75">
        <f>+'Revenue Projections Detail'!F71</f>
        <v>0</v>
      </c>
      <c r="H15" s="75">
        <f>+'Revenue Projections Detail'!G71</f>
        <v>201000</v>
      </c>
      <c r="I15" s="75">
        <f>+'Revenue Projections Detail'!H71</f>
        <v>194000</v>
      </c>
      <c r="J15" s="75">
        <f>+'Revenue Projections Detail'!J71</f>
        <v>370044</v>
      </c>
      <c r="K15" s="75">
        <f>+'Revenue Projections Detail'!K71</f>
        <v>471792</v>
      </c>
      <c r="L15" s="2">
        <f t="shared" si="0"/>
        <v>471792</v>
      </c>
      <c r="M15" s="2"/>
      <c r="N15" s="75">
        <f>+L15</f>
        <v>471792</v>
      </c>
      <c r="T15" s="75"/>
    </row>
    <row r="16" spans="1:20" x14ac:dyDescent="0.2">
      <c r="B16" t="s">
        <v>662</v>
      </c>
      <c r="C16" s="75">
        <f>+'Revenue Projections Detail'!B64+'Revenue Projections Detail'!B65</f>
        <v>166182</v>
      </c>
      <c r="D16" s="75">
        <f>+'Revenue Projections Detail'!C64+'Revenue Projections Detail'!C65</f>
        <v>274055</v>
      </c>
      <c r="E16" s="75">
        <f>+'Revenue Projections Detail'!D64+'Revenue Projections Detail'!D65</f>
        <v>113000</v>
      </c>
      <c r="F16" s="75">
        <f>+'Revenue Projections Detail'!E64+'Revenue Projections Detail'!E65</f>
        <v>136000</v>
      </c>
      <c r="G16" s="75">
        <f>+'Revenue Projections Detail'!F64+'Revenue Projections Detail'!F65</f>
        <v>0</v>
      </c>
      <c r="H16" s="75">
        <f>+'Revenue Projections Detail'!G64+'Revenue Projections Detail'!G65</f>
        <v>0</v>
      </c>
      <c r="I16" s="75">
        <f>+'Revenue Projections Detail'!H64+'Revenue Projections Detail'!H65</f>
        <v>0</v>
      </c>
      <c r="J16" s="75">
        <f>+'Revenue Projections Detail'!J64+'Revenue Projections Detail'!J65</f>
        <v>0</v>
      </c>
      <c r="K16" s="75">
        <f>+'Revenue Projections Detail'!K64+'Revenue Projections Detail'!K65</f>
        <v>0</v>
      </c>
      <c r="L16" s="2">
        <f t="shared" si="0"/>
        <v>0</v>
      </c>
      <c r="M16" s="2"/>
      <c r="N16" s="75"/>
      <c r="P16" s="2">
        <f>+L16</f>
        <v>0</v>
      </c>
      <c r="T16" s="75"/>
    </row>
    <row r="17" spans="1:22" x14ac:dyDescent="0.2">
      <c r="B17" t="s">
        <v>727</v>
      </c>
      <c r="C17" s="75">
        <f>+'Revenue Projections Detail'!B61</f>
        <v>24000</v>
      </c>
      <c r="D17" s="75">
        <f>+'Revenue Projections Detail'!C61</f>
        <v>0</v>
      </c>
      <c r="E17" s="75">
        <f>+'Revenue Projections Detail'!D61</f>
        <v>0</v>
      </c>
      <c r="F17" s="75">
        <f>+'Revenue Projections Detail'!E61</f>
        <v>0</v>
      </c>
      <c r="G17" s="75">
        <f>+'Revenue Projections Detail'!F61</f>
        <v>0</v>
      </c>
      <c r="H17" s="75">
        <f>+'Revenue Projections Detail'!G61</f>
        <v>0</v>
      </c>
      <c r="I17" s="75">
        <f>+'Revenue Projections Detail'!H61</f>
        <v>53465</v>
      </c>
      <c r="J17" s="75">
        <f>+'Revenue Projections Detail'!J61</f>
        <v>0</v>
      </c>
      <c r="K17" s="75">
        <f>+'Revenue Projections Detail'!K61</f>
        <v>0</v>
      </c>
      <c r="L17" s="2">
        <f t="shared" si="0"/>
        <v>0</v>
      </c>
      <c r="M17" s="2"/>
      <c r="N17" s="75"/>
      <c r="O17" s="2">
        <f>+L17</f>
        <v>0</v>
      </c>
      <c r="T17" s="75"/>
    </row>
    <row r="18" spans="1:22" x14ac:dyDescent="0.2">
      <c r="B18" t="s">
        <v>554</v>
      </c>
      <c r="C18" s="75"/>
      <c r="D18" s="75"/>
      <c r="E18" s="75"/>
      <c r="F18" s="75"/>
      <c r="G18" s="75"/>
      <c r="H18" s="75"/>
      <c r="I18" s="75"/>
      <c r="J18" s="75"/>
      <c r="K18" s="75"/>
      <c r="L18" s="2">
        <f t="shared" si="0"/>
        <v>0</v>
      </c>
      <c r="M18" s="2"/>
      <c r="N18" s="75"/>
      <c r="T18" s="75"/>
    </row>
    <row r="19" spans="1:22" x14ac:dyDescent="0.2">
      <c r="B19" t="s">
        <v>973</v>
      </c>
      <c r="C19" s="75">
        <f>+'Revenue Projections Detail'!B78</f>
        <v>160000</v>
      </c>
      <c r="D19" s="75">
        <f>+'Revenue Projections Detail'!C78</f>
        <v>0</v>
      </c>
      <c r="E19" s="75">
        <f>+'Revenue Projections Detail'!D78</f>
        <v>400000</v>
      </c>
      <c r="F19" s="75">
        <f>+'Revenue Projections Detail'!E78</f>
        <v>1661764</v>
      </c>
      <c r="G19" s="75" t="e">
        <f>+'Revenue Projections Detail'!F78</f>
        <v>#REF!</v>
      </c>
      <c r="H19" s="75">
        <f>+'Revenue Projections Detail'!G78</f>
        <v>0</v>
      </c>
      <c r="I19" s="75">
        <f>+'Revenue Projections Detail'!H78</f>
        <v>0</v>
      </c>
      <c r="J19" s="75">
        <f>+'Revenue Projections Detail'!J78</f>
        <v>0</v>
      </c>
      <c r="K19" s="75">
        <f>+'Revenue Projections Detail'!K78</f>
        <v>0</v>
      </c>
      <c r="L19" s="2">
        <f t="shared" si="0"/>
        <v>0</v>
      </c>
      <c r="M19" s="2"/>
      <c r="N19" s="75"/>
      <c r="Q19" s="2">
        <f>+L19</f>
        <v>0</v>
      </c>
      <c r="T19" s="75"/>
    </row>
    <row r="20" spans="1:22" x14ac:dyDescent="0.2">
      <c r="B20" s="254" t="s">
        <v>969</v>
      </c>
      <c r="C20" s="75">
        <f>+'Revenue Projections Detail'!B79</f>
        <v>0</v>
      </c>
      <c r="D20" s="75">
        <f>+'Revenue Projections Detail'!C79</f>
        <v>0</v>
      </c>
      <c r="E20" s="75">
        <f>+'Revenue Projections Detail'!D79</f>
        <v>0</v>
      </c>
      <c r="F20" s="75">
        <f>+'Revenue Projections Detail'!E79</f>
        <v>385000</v>
      </c>
      <c r="G20" s="75" t="e">
        <f>+'Revenue Projections Detail'!F79</f>
        <v>#REF!</v>
      </c>
      <c r="H20" s="75">
        <f>+'Revenue Projections Detail'!G79</f>
        <v>385000</v>
      </c>
      <c r="I20" s="75">
        <f>+'Revenue Projections Detail'!H79</f>
        <v>521000</v>
      </c>
      <c r="J20" s="75">
        <f>+'Revenue Projections Detail'!J79</f>
        <v>0</v>
      </c>
      <c r="K20" s="75">
        <f>+'Revenue Projections Detail'!K79</f>
        <v>0</v>
      </c>
      <c r="L20" s="2">
        <f t="shared" si="0"/>
        <v>0</v>
      </c>
      <c r="M20" s="2"/>
      <c r="N20" s="75"/>
      <c r="R20" s="2">
        <f>+L20</f>
        <v>0</v>
      </c>
      <c r="T20" s="75"/>
    </row>
    <row r="21" spans="1:22" x14ac:dyDescent="0.2">
      <c r="B21" t="s">
        <v>539</v>
      </c>
      <c r="C21" s="75">
        <f>+'Revenue Projections Detail'!B82</f>
        <v>1693865</v>
      </c>
      <c r="D21" s="75">
        <f>+'Revenue Projections Detail'!C82</f>
        <v>1866887</v>
      </c>
      <c r="E21" s="75">
        <f>+'Revenue Projections Detail'!D82</f>
        <v>1687525</v>
      </c>
      <c r="F21" s="75">
        <f>+'Revenue Projections Detail'!E82</f>
        <v>1913646</v>
      </c>
      <c r="G21" s="75">
        <f>+'Revenue Projections Detail'!F82</f>
        <v>2250472</v>
      </c>
      <c r="H21" s="75">
        <f>+'Revenue Projections Detail'!G82</f>
        <v>2627714</v>
      </c>
      <c r="I21" s="75">
        <f>+'Revenue Projections Detail'!H82</f>
        <v>2241379</v>
      </c>
      <c r="J21" s="75">
        <f>+'Revenue Projections Detail'!J82</f>
        <v>2230727</v>
      </c>
      <c r="K21" s="75">
        <f>+'Revenue Projections Detail'!K82</f>
        <v>2404070</v>
      </c>
      <c r="L21" s="2">
        <f t="shared" si="0"/>
        <v>2404070</v>
      </c>
      <c r="M21" s="2"/>
      <c r="N21" s="75"/>
      <c r="S21" s="2">
        <f>+L21</f>
        <v>2404070</v>
      </c>
    </row>
    <row r="22" spans="1:22" x14ac:dyDescent="0.2">
      <c r="B22" t="s">
        <v>243</v>
      </c>
      <c r="C22" s="152">
        <f>+'Revenue Projections Detail'!B83</f>
        <v>31461</v>
      </c>
      <c r="D22" s="152">
        <f>+'Revenue Projections Detail'!C83</f>
        <v>33809</v>
      </c>
      <c r="E22" s="152">
        <f>+'Revenue Projections Detail'!D83</f>
        <v>27165</v>
      </c>
      <c r="F22" s="152">
        <f>+'Revenue Projections Detail'!E83</f>
        <v>30847</v>
      </c>
      <c r="G22" s="152">
        <f>+'Revenue Projections Detail'!F83</f>
        <v>31987</v>
      </c>
      <c r="H22" s="152">
        <f>+'Revenue Projections Detail'!G83</f>
        <v>33258</v>
      </c>
      <c r="I22" s="152">
        <f>+'Revenue Projections Detail'!H83</f>
        <v>36096</v>
      </c>
      <c r="J22" s="152">
        <f>+'Revenue Projections Detail'!J83</f>
        <v>46984</v>
      </c>
      <c r="K22" s="152">
        <f>+'Revenue Projections Detail'!K83</f>
        <v>59089</v>
      </c>
      <c r="L22" s="61">
        <f t="shared" si="0"/>
        <v>59089</v>
      </c>
      <c r="M22" s="61"/>
      <c r="N22" s="152"/>
      <c r="O22" s="61"/>
      <c r="P22" s="61"/>
      <c r="Q22" s="61"/>
      <c r="R22" s="61"/>
      <c r="S22" s="61"/>
      <c r="T22" s="61">
        <f>+L22</f>
        <v>59089</v>
      </c>
    </row>
    <row r="23" spans="1:22" x14ac:dyDescent="0.2">
      <c r="B23" t="s">
        <v>116</v>
      </c>
      <c r="C23" s="75">
        <f t="shared" ref="C23:I23" si="1">SUM(C6:C22)</f>
        <v>17289092</v>
      </c>
      <c r="D23" s="75">
        <f t="shared" si="1"/>
        <v>17943688.84</v>
      </c>
      <c r="E23" s="75">
        <f t="shared" si="1"/>
        <v>18514017.5</v>
      </c>
      <c r="F23" s="75">
        <f t="shared" si="1"/>
        <v>20913240</v>
      </c>
      <c r="G23" s="75" t="e">
        <f t="shared" si="1"/>
        <v>#REF!</v>
      </c>
      <c r="H23" s="75">
        <f t="shared" si="1"/>
        <v>23492152.969999999</v>
      </c>
      <c r="I23" s="75">
        <f t="shared" si="1"/>
        <v>24541002.5</v>
      </c>
      <c r="J23" s="75">
        <f t="shared" ref="J23:K23" si="2">SUM(J6:J22)</f>
        <v>24548659</v>
      </c>
      <c r="K23" s="75">
        <f t="shared" si="2"/>
        <v>26144247.300000001</v>
      </c>
      <c r="L23" s="75">
        <f>SUM(L6:L22)</f>
        <v>26144247.300000001</v>
      </c>
      <c r="M23" s="75">
        <f t="shared" ref="M23:T23" si="3">SUM(M6:M22)</f>
        <v>23113239</v>
      </c>
      <c r="N23" s="75">
        <f t="shared" si="3"/>
        <v>471792</v>
      </c>
      <c r="O23" s="75">
        <f t="shared" si="3"/>
        <v>96057.3</v>
      </c>
      <c r="P23" s="75">
        <f t="shared" si="3"/>
        <v>0</v>
      </c>
      <c r="Q23" s="75">
        <f t="shared" si="3"/>
        <v>0</v>
      </c>
      <c r="R23" s="75">
        <f t="shared" si="3"/>
        <v>0</v>
      </c>
      <c r="S23" s="75">
        <f t="shared" si="3"/>
        <v>2404070</v>
      </c>
      <c r="T23" s="75">
        <f t="shared" si="3"/>
        <v>59089</v>
      </c>
      <c r="V23" s="2"/>
    </row>
    <row r="24" spans="1:22" x14ac:dyDescent="0.2">
      <c r="B24" s="2"/>
      <c r="C24" s="2"/>
      <c r="D24" s="2"/>
      <c r="E24" s="2"/>
      <c r="F24" s="2"/>
      <c r="G24" s="2"/>
      <c r="H24" s="2"/>
      <c r="I24" s="2"/>
      <c r="J24" s="2"/>
      <c r="K24" s="75"/>
      <c r="L24" s="2">
        <f>SUM(M23:T23)</f>
        <v>26144247.300000001</v>
      </c>
      <c r="M24" s="2"/>
      <c r="N24" s="75"/>
      <c r="T24" s="75"/>
    </row>
    <row r="25" spans="1:22" x14ac:dyDescent="0.2">
      <c r="B25" s="2" t="s">
        <v>686</v>
      </c>
      <c r="C25" s="2"/>
      <c r="D25" s="2"/>
      <c r="E25" s="2"/>
      <c r="F25" s="2"/>
      <c r="G25" s="2"/>
      <c r="H25" s="2"/>
      <c r="I25" s="2"/>
      <c r="J25" s="2"/>
      <c r="K25" s="75"/>
      <c r="L25" s="2"/>
      <c r="M25" s="2"/>
      <c r="N25" s="75"/>
      <c r="T25" s="75"/>
    </row>
    <row r="26" spans="1:22" x14ac:dyDescent="0.2">
      <c r="B26" s="2" t="s">
        <v>687</v>
      </c>
      <c r="C26" s="2"/>
      <c r="D26" s="2"/>
      <c r="E26" s="2"/>
      <c r="F26" s="2"/>
      <c r="G26" s="2"/>
      <c r="H26" s="2"/>
      <c r="I26" s="2"/>
      <c r="J26" s="2">
        <f>+J23-SUM(J18:J22)-J14</f>
        <v>22175548</v>
      </c>
      <c r="K26" s="2">
        <f>+K23-SUM(K18:K22)-K14</f>
        <v>23601338.300000001</v>
      </c>
      <c r="L26" s="2">
        <f>+L23-SUM(L18:L22)-L14</f>
        <v>23601338.300000001</v>
      </c>
      <c r="M26" s="2"/>
      <c r="N26" s="75"/>
      <c r="T26" s="75"/>
    </row>
    <row r="27" spans="1:22" x14ac:dyDescent="0.2">
      <c r="B27" s="2" t="s">
        <v>420</v>
      </c>
      <c r="C27" s="2"/>
      <c r="D27" s="2"/>
      <c r="E27" s="2"/>
      <c r="F27" s="2"/>
      <c r="G27" s="2"/>
      <c r="H27" s="2"/>
      <c r="I27" s="2"/>
      <c r="J27" s="2"/>
      <c r="K27" s="75"/>
      <c r="L27" s="2"/>
      <c r="M27" s="2"/>
      <c r="N27" s="75"/>
      <c r="T27" s="75"/>
    </row>
    <row r="29" spans="1:22" x14ac:dyDescent="0.2">
      <c r="C29" s="379" t="s">
        <v>332</v>
      </c>
      <c r="D29" s="379" t="s">
        <v>78</v>
      </c>
      <c r="E29" s="379" t="s">
        <v>1141</v>
      </c>
      <c r="F29" s="379" t="s">
        <v>791</v>
      </c>
      <c r="G29" s="379" t="s">
        <v>881</v>
      </c>
      <c r="H29" s="379" t="s">
        <v>897</v>
      </c>
      <c r="I29" s="379" t="s">
        <v>898</v>
      </c>
      <c r="J29" s="397" t="s">
        <v>899</v>
      </c>
      <c r="K29" s="397" t="s">
        <v>900</v>
      </c>
      <c r="L29" s="397" t="s">
        <v>900</v>
      </c>
      <c r="M29" s="151"/>
      <c r="O29" s="75"/>
    </row>
    <row r="30" spans="1:22" x14ac:dyDescent="0.2">
      <c r="C30" s="150" t="s">
        <v>122</v>
      </c>
      <c r="D30" s="150" t="s">
        <v>122</v>
      </c>
      <c r="E30" s="150" t="s">
        <v>122</v>
      </c>
      <c r="F30" s="150" t="s">
        <v>122</v>
      </c>
      <c r="G30" s="150" t="s">
        <v>122</v>
      </c>
      <c r="H30" s="150" t="s">
        <v>122</v>
      </c>
      <c r="I30" s="150" t="s">
        <v>122</v>
      </c>
      <c r="J30" s="150" t="s">
        <v>542</v>
      </c>
      <c r="K30" s="75" t="s">
        <v>495</v>
      </c>
      <c r="L30" s="75" t="s">
        <v>495</v>
      </c>
      <c r="M30" s="3"/>
      <c r="O30" s="75"/>
    </row>
    <row r="31" spans="1:22" x14ac:dyDescent="0.2">
      <c r="B31" t="s">
        <v>269</v>
      </c>
      <c r="K31" s="75"/>
      <c r="M31" s="277"/>
      <c r="O31" s="75"/>
    </row>
    <row r="32" spans="1:22" x14ac:dyDescent="0.2">
      <c r="A32" s="410">
        <v>113</v>
      </c>
      <c r="B32" t="s">
        <v>270</v>
      </c>
      <c r="C32" s="232">
        <f>+'113 Town Mtg'!C23</f>
        <v>1561.73</v>
      </c>
      <c r="D32" s="232">
        <f>+'113 Town Mtg'!D23</f>
        <v>1423.38</v>
      </c>
      <c r="E32" s="232">
        <f>+'113 Town Mtg'!E23</f>
        <v>1614.6</v>
      </c>
      <c r="F32" s="232">
        <f>+'113 Town Mtg'!F23</f>
        <v>1368.86</v>
      </c>
      <c r="G32" s="232">
        <f>+'113 Town Mtg'!G23</f>
        <v>1581.73</v>
      </c>
      <c r="H32" s="232">
        <f>+'113 Town Mtg'!H23</f>
        <v>1783.82</v>
      </c>
      <c r="I32" s="232">
        <f>+'113 Town Mtg'!I23</f>
        <v>1800</v>
      </c>
      <c r="J32" s="232">
        <f>+'113 Town Mtg'!J23</f>
        <v>2070</v>
      </c>
      <c r="K32" s="232">
        <f>ROUND((+'113 Town Mtg'!L23),0)</f>
        <v>2090</v>
      </c>
      <c r="L32" s="310">
        <f>+'113 Town Mtg'!M23</f>
        <v>2090</v>
      </c>
      <c r="M32" s="232"/>
      <c r="O32" s="75"/>
    </row>
    <row r="33" spans="1:15" x14ac:dyDescent="0.2">
      <c r="A33" s="410">
        <v>122</v>
      </c>
      <c r="B33" t="s">
        <v>1324</v>
      </c>
      <c r="C33" s="75">
        <f>+'122 Selectboard'!C36</f>
        <v>129636.18999999999</v>
      </c>
      <c r="D33" s="75">
        <f>+'122 Selectboard'!D36</f>
        <v>141863.65000000002</v>
      </c>
      <c r="E33" s="75">
        <f>+'122 Selectboard'!E36</f>
        <v>148667.49</v>
      </c>
      <c r="F33" s="75">
        <f>+'122 Selectboard'!F36</f>
        <v>155552.90000000002</v>
      </c>
      <c r="G33" s="75">
        <f>+'122 Selectboard'!G36</f>
        <v>193441</v>
      </c>
      <c r="H33" s="75">
        <f>+'122 Selectboard'!H36</f>
        <v>175165.72999999998</v>
      </c>
      <c r="I33" s="75">
        <f>+'122 Selectboard'!I36</f>
        <v>172490.09999999998</v>
      </c>
      <c r="J33" s="75">
        <f>+'122 Selectboard'!J36</f>
        <v>184489</v>
      </c>
      <c r="K33" s="75">
        <f>ROUND((+'122 Selectboard'!L36),0)</f>
        <v>192014</v>
      </c>
      <c r="L33" s="278">
        <f>+'122 Selectboard'!M36</f>
        <v>192014</v>
      </c>
      <c r="O33" s="75"/>
    </row>
    <row r="34" spans="1:15" x14ac:dyDescent="0.2">
      <c r="A34" s="410">
        <v>131</v>
      </c>
      <c r="B34" t="s">
        <v>273</v>
      </c>
      <c r="C34" s="75">
        <f>+'131 Fin Comm'!C18</f>
        <v>659.25</v>
      </c>
      <c r="D34" s="75">
        <f>+'131 Fin Comm'!D18</f>
        <v>315.39999999999998</v>
      </c>
      <c r="E34" s="75">
        <f>+'131 Fin Comm'!E18</f>
        <v>571.79999999999995</v>
      </c>
      <c r="F34" s="75">
        <f>+'131 Fin Comm'!F18</f>
        <v>615.22</v>
      </c>
      <c r="G34" s="75">
        <f>+'131 Fin Comm'!G18</f>
        <v>422</v>
      </c>
      <c r="H34" s="75">
        <f>+'131 Fin Comm'!H18</f>
        <v>468</v>
      </c>
      <c r="I34" s="75">
        <f>+'131 Fin Comm'!I18</f>
        <v>673.07999999999993</v>
      </c>
      <c r="J34" s="75">
        <f>+'131 Fin Comm'!J18</f>
        <v>680</v>
      </c>
      <c r="K34" s="75">
        <f>ROUND((+'131 Fin Comm'!L18),0)</f>
        <v>1000</v>
      </c>
      <c r="L34" s="278">
        <f>+'131 Fin Comm'!M18</f>
        <v>1000</v>
      </c>
      <c r="O34" s="75"/>
    </row>
    <row r="35" spans="1:15" x14ac:dyDescent="0.2">
      <c r="A35" s="410">
        <v>132</v>
      </c>
      <c r="B35" t="s">
        <v>275</v>
      </c>
      <c r="C35" s="75">
        <f>+'132 Reserve Fund'!C14</f>
        <v>44620</v>
      </c>
      <c r="D35" s="75">
        <f>+'132 Reserve Fund'!D14</f>
        <v>24500</v>
      </c>
      <c r="E35" s="75">
        <f>+'132 Reserve Fund'!E14</f>
        <v>41400</v>
      </c>
      <c r="F35" s="75">
        <f>+'132 Reserve Fund'!F14</f>
        <v>55839.67</v>
      </c>
      <c r="G35" s="75">
        <f>+'132 Reserve Fund'!G14</f>
        <v>58400.800000000003</v>
      </c>
      <c r="H35" s="75">
        <f>+'132 Reserve Fund'!H14</f>
        <v>43309.74</v>
      </c>
      <c r="I35" s="75">
        <f>+'132 Reserve Fund'!I14</f>
        <v>20200</v>
      </c>
      <c r="J35" s="75">
        <f>+'132 Reserve Fund'!J14</f>
        <v>60000</v>
      </c>
      <c r="K35" s="75">
        <f>ROUND((+'132 Reserve Fund'!L14),0)</f>
        <v>60000</v>
      </c>
      <c r="L35" s="278">
        <f>+'132 Reserve Fund'!M14</f>
        <v>60000</v>
      </c>
      <c r="O35" s="75"/>
    </row>
    <row r="36" spans="1:15" x14ac:dyDescent="0.2">
      <c r="A36" s="410">
        <v>135</v>
      </c>
      <c r="B36" t="s">
        <v>277</v>
      </c>
      <c r="C36" s="75">
        <f>+'135 Acct'!C26</f>
        <v>69678.560000000012</v>
      </c>
      <c r="D36" s="75">
        <f>+'135 Acct'!D26</f>
        <v>69599.66</v>
      </c>
      <c r="E36" s="75">
        <f>+'135 Acct'!E26</f>
        <v>73935.94</v>
      </c>
      <c r="F36" s="75">
        <f>+'135 Acct'!F26</f>
        <v>76437.100000000006</v>
      </c>
      <c r="G36" s="75">
        <f>+'135 Acct'!G26</f>
        <v>75098.350000000006</v>
      </c>
      <c r="H36" s="75">
        <f>+'135 Acct'!H26</f>
        <v>75900.149999999994</v>
      </c>
      <c r="I36" s="75">
        <f>+'135 Acct'!I26</f>
        <v>77521.61</v>
      </c>
      <c r="J36" s="75">
        <f>+'135 Acct'!J26</f>
        <v>81680</v>
      </c>
      <c r="K36" s="75">
        <f>ROUND((+'135 Acct'!L26),0)</f>
        <v>81934</v>
      </c>
      <c r="L36" s="278">
        <f>+'135 Acct'!M26</f>
        <v>81934</v>
      </c>
      <c r="O36" s="75"/>
    </row>
    <row r="37" spans="1:15" x14ac:dyDescent="0.2">
      <c r="A37" s="410">
        <v>141</v>
      </c>
      <c r="B37" t="s">
        <v>278</v>
      </c>
      <c r="C37" s="75">
        <f>+'141 BOA'!C41</f>
        <v>141651.54</v>
      </c>
      <c r="D37" s="75">
        <f>+'141 BOA'!D41</f>
        <v>144985.04999999999</v>
      </c>
      <c r="E37" s="75">
        <f>+'141 BOA'!E41</f>
        <v>151757</v>
      </c>
      <c r="F37" s="75">
        <f>+'141 BOA'!F41</f>
        <v>159170.29</v>
      </c>
      <c r="G37" s="75">
        <f>+'141 BOA'!G41</f>
        <v>163402.36000000002</v>
      </c>
      <c r="H37" s="75">
        <f>+'141 BOA'!H41</f>
        <v>172805.62</v>
      </c>
      <c r="I37" s="75">
        <f>+'141 BOA'!I41</f>
        <v>172698.83000000002</v>
      </c>
      <c r="J37" s="75">
        <f>+'141 BOA'!J41</f>
        <v>189278</v>
      </c>
      <c r="K37" s="75">
        <f>ROUND((+'141 BOA'!L41),0)</f>
        <v>195422</v>
      </c>
      <c r="L37" s="278">
        <f>+'141 BOA'!M41</f>
        <v>195422</v>
      </c>
      <c r="O37" s="75"/>
    </row>
    <row r="38" spans="1:15" hidden="1" x14ac:dyDescent="0.2">
      <c r="A38" s="410">
        <v>141</v>
      </c>
      <c r="B38" s="254" t="s">
        <v>874</v>
      </c>
      <c r="C38" s="75">
        <f>+'141 BOA'!C39</f>
        <v>0</v>
      </c>
      <c r="D38" s="75">
        <f>+'141 BOA'!D39</f>
        <v>0</v>
      </c>
      <c r="E38" s="75">
        <f>+'141 BOA'!E39</f>
        <v>0</v>
      </c>
      <c r="F38" s="75">
        <f>+'141 BOA'!F39</f>
        <v>3860</v>
      </c>
      <c r="G38" s="75">
        <f>+'141 BOA'!G39</f>
        <v>0</v>
      </c>
      <c r="H38" s="75">
        <f>+'141 BOA'!H39</f>
        <v>0</v>
      </c>
      <c r="I38" s="75">
        <f>+'141 BOA'!I39</f>
        <v>0</v>
      </c>
      <c r="J38" s="75">
        <f>+'141 BOA'!J39</f>
        <v>0</v>
      </c>
      <c r="K38" s="75">
        <f>+'141 BOA'!L39</f>
        <v>0</v>
      </c>
      <c r="L38" s="278">
        <f>+'141 BOA'!L39</f>
        <v>0</v>
      </c>
      <c r="O38" s="75"/>
    </row>
    <row r="39" spans="1:15" x14ac:dyDescent="0.2">
      <c r="A39" s="410">
        <v>145</v>
      </c>
      <c r="B39" t="s">
        <v>279</v>
      </c>
      <c r="C39" s="75">
        <f>+'145 Treas'!C33</f>
        <v>191039.90999999997</v>
      </c>
      <c r="D39" s="75">
        <f>+'145 Treas'!D33</f>
        <v>197309.9</v>
      </c>
      <c r="E39" s="75">
        <f>+'145 Treas'!E33</f>
        <v>206758.38</v>
      </c>
      <c r="F39" s="75">
        <f>+'145 Treas'!F33</f>
        <v>218034.8</v>
      </c>
      <c r="G39" s="75">
        <f>+'145 Treas'!G33</f>
        <v>213700.67</v>
      </c>
      <c r="H39" s="75">
        <f>+'145 Treas'!H33</f>
        <v>208670.33</v>
      </c>
      <c r="I39" s="75">
        <f>+'145 Treas'!I33</f>
        <v>206826.21</v>
      </c>
      <c r="J39" s="75">
        <f>+'145 Treas'!J33</f>
        <v>224914</v>
      </c>
      <c r="K39" s="75">
        <f>ROUND((+'145 Treas'!L33),0)</f>
        <v>239560</v>
      </c>
      <c r="L39" s="278">
        <f>+'145 Treas'!M33</f>
        <v>239560.21</v>
      </c>
      <c r="O39" s="75"/>
    </row>
    <row r="40" spans="1:15" x14ac:dyDescent="0.2">
      <c r="A40" s="410">
        <v>151</v>
      </c>
      <c r="B40" t="s">
        <v>281</v>
      </c>
      <c r="C40" s="75">
        <f>+'151 Counsel'!C15</f>
        <v>79291.739999999991</v>
      </c>
      <c r="D40" s="75">
        <f>+'151 Counsel'!D15</f>
        <v>68222.33</v>
      </c>
      <c r="E40" s="75">
        <f>+'151 Counsel'!E15</f>
        <v>104258.47</v>
      </c>
      <c r="F40" s="75">
        <f>+'151 Counsel'!F15</f>
        <v>74568.58</v>
      </c>
      <c r="G40" s="75">
        <f>+'151 Counsel'!G15</f>
        <v>94990.93</v>
      </c>
      <c r="H40" s="75">
        <f>+'151 Counsel'!H15</f>
        <v>78752.53</v>
      </c>
      <c r="I40" s="75">
        <f>+'151 Counsel'!I15</f>
        <v>62050.99</v>
      </c>
      <c r="J40" s="75">
        <f>+'151 Counsel'!J15</f>
        <v>98000</v>
      </c>
      <c r="K40" s="75">
        <f>ROUND((+'151 Counsel'!L15),0)</f>
        <v>90000</v>
      </c>
      <c r="L40" s="278">
        <f>+'151 Counsel'!M15</f>
        <v>90000</v>
      </c>
      <c r="O40" s="75"/>
    </row>
    <row r="41" spans="1:15" x14ac:dyDescent="0.2">
      <c r="A41" s="410">
        <v>155</v>
      </c>
      <c r="B41" t="s">
        <v>937</v>
      </c>
      <c r="C41" s="75">
        <f>+'155 IT'!C23</f>
        <v>21070.73</v>
      </c>
      <c r="D41" s="75">
        <f>+'155 IT'!D23</f>
        <v>21720.39</v>
      </c>
      <c r="E41" s="75">
        <f>+'155 IT'!E23</f>
        <v>22312.94</v>
      </c>
      <c r="F41" s="75">
        <f>+'155 IT'!F23</f>
        <v>31491.690000000002</v>
      </c>
      <c r="G41" s="75">
        <f>+'155 IT'!G23</f>
        <v>33814.289999999994</v>
      </c>
      <c r="H41" s="75">
        <f>+'155 IT'!H23</f>
        <v>43349.700000000004</v>
      </c>
      <c r="I41" s="75">
        <f>+'155 IT'!I23</f>
        <v>46323.6</v>
      </c>
      <c r="J41" s="75">
        <f>+'155 IT'!J23</f>
        <v>46000</v>
      </c>
      <c r="K41" s="75">
        <f>ROUND((+'155 IT'!L23),0)</f>
        <v>58100</v>
      </c>
      <c r="L41" s="75">
        <f>+'155 IT'!M23</f>
        <v>58100</v>
      </c>
      <c r="O41" s="75"/>
    </row>
    <row r="42" spans="1:15" x14ac:dyDescent="0.2">
      <c r="A42" s="410">
        <v>159</v>
      </c>
      <c r="B42" t="s">
        <v>531</v>
      </c>
      <c r="C42" s="75">
        <f>+'159 Shared Costs'!C23</f>
        <v>41297.370000000003</v>
      </c>
      <c r="D42" s="75">
        <f>+'159 Shared Costs'!D23</f>
        <v>40543.560000000005</v>
      </c>
      <c r="E42" s="75">
        <f>+'159 Shared Costs'!E23</f>
        <v>43387.42</v>
      </c>
      <c r="F42" s="75">
        <f>+'159 Shared Costs'!F23</f>
        <v>43663.680000000008</v>
      </c>
      <c r="G42" s="75">
        <f>+'159 Shared Costs'!G23</f>
        <v>43321.19</v>
      </c>
      <c r="H42" s="75">
        <f>+'159 Shared Costs'!H23</f>
        <v>72116.45</v>
      </c>
      <c r="I42" s="75">
        <f>+'159 Shared Costs'!I23</f>
        <v>81055.099999999991</v>
      </c>
      <c r="J42" s="75">
        <f>+'159 Shared Costs'!J23</f>
        <v>65659</v>
      </c>
      <c r="K42" s="75">
        <f>ROUND((+'159 Shared Costs'!L23),0)</f>
        <v>72759</v>
      </c>
      <c r="L42" s="278">
        <f>+'159 Shared Costs'!M23</f>
        <v>72759</v>
      </c>
      <c r="O42" s="75"/>
    </row>
    <row r="43" spans="1:15" x14ac:dyDescent="0.2">
      <c r="A43" s="410">
        <v>161</v>
      </c>
      <c r="B43" t="s">
        <v>283</v>
      </c>
      <c r="C43" s="75">
        <f>+'161 Clerk'!C36</f>
        <v>130503.54</v>
      </c>
      <c r="D43" s="75">
        <f>+'161 Clerk'!D36</f>
        <v>113509.36</v>
      </c>
      <c r="E43" s="75">
        <f>+'161 Clerk'!E36</f>
        <v>134637.65</v>
      </c>
      <c r="F43" s="75">
        <f>+'161 Clerk'!F36</f>
        <v>135316.26999999999</v>
      </c>
      <c r="G43" s="75">
        <f>+'161 Clerk'!G36</f>
        <v>142245.75999999998</v>
      </c>
      <c r="H43" s="75">
        <f>+'161 Clerk'!H36</f>
        <v>134774.06</v>
      </c>
      <c r="I43" s="75">
        <f>+'161 Clerk'!I36</f>
        <v>164798.6</v>
      </c>
      <c r="J43" s="75">
        <f>+'161 Clerk'!J36</f>
        <v>159223</v>
      </c>
      <c r="K43" s="75">
        <f>ROUND((+'161 Clerk'!L36),0)</f>
        <v>167001</v>
      </c>
      <c r="L43" s="278">
        <f>+'161 Clerk'!M36</f>
        <v>167001</v>
      </c>
      <c r="O43" s="75"/>
    </row>
    <row r="44" spans="1:15" x14ac:dyDescent="0.2">
      <c r="A44" s="410">
        <v>175</v>
      </c>
      <c r="B44" t="s">
        <v>568</v>
      </c>
      <c r="C44" s="75">
        <f>+'175 Planning'!C30</f>
        <v>64295.68</v>
      </c>
      <c r="D44" s="75">
        <f>+'175 Planning'!D30</f>
        <v>74043.48</v>
      </c>
      <c r="E44" s="75">
        <f>+'175 Planning'!E30</f>
        <v>76609.999999999985</v>
      </c>
      <c r="F44" s="75">
        <f>+'175 Planning'!F30</f>
        <v>78689.919999999998</v>
      </c>
      <c r="G44" s="75">
        <f>+'175 Planning'!G30</f>
        <v>85614.25</v>
      </c>
      <c r="H44" s="75">
        <f>+'175 Planning'!H30</f>
        <v>89106.83</v>
      </c>
      <c r="I44" s="75">
        <f>+'175 Planning'!I30</f>
        <v>113367.35999999999</v>
      </c>
      <c r="J44" s="75">
        <f>+'175 Planning'!J30</f>
        <v>125302</v>
      </c>
      <c r="K44" s="75">
        <f>ROUND((+'175 Planning'!L30),0)</f>
        <v>121187</v>
      </c>
      <c r="L44" s="278">
        <f>+'175 Planning'!M30</f>
        <v>121187.00000000001</v>
      </c>
      <c r="O44" s="75"/>
    </row>
    <row r="45" spans="1:15" x14ac:dyDescent="0.2">
      <c r="A45" s="410">
        <v>176</v>
      </c>
      <c r="B45" t="s">
        <v>286</v>
      </c>
      <c r="C45" s="232">
        <f>+'176 ZBA'!C18</f>
        <v>3437.02</v>
      </c>
      <c r="D45" s="232">
        <f>+'176 ZBA'!D18</f>
        <v>1079.7</v>
      </c>
      <c r="E45" s="232">
        <f>+'176 ZBA'!E18</f>
        <v>1238.56</v>
      </c>
      <c r="F45" s="232">
        <f>+'176 ZBA'!F18</f>
        <v>2203.6799999999998</v>
      </c>
      <c r="G45" s="232">
        <f>+'176 ZBA'!G18</f>
        <v>2086.86</v>
      </c>
      <c r="H45" s="232">
        <f>+'176 ZBA'!H18</f>
        <v>3065.5</v>
      </c>
      <c r="I45" s="232">
        <f>+'176 ZBA'!I18</f>
        <v>611.48</v>
      </c>
      <c r="J45" s="232">
        <f>+'176 ZBA'!J18</f>
        <v>1200</v>
      </c>
      <c r="K45" s="232">
        <f>ROUND((+'176 ZBA'!L18),0)</f>
        <v>1200</v>
      </c>
      <c r="L45" s="310">
        <f>+'176 ZBA'!M18</f>
        <v>1200</v>
      </c>
      <c r="M45" s="232"/>
      <c r="O45" s="75"/>
    </row>
    <row r="46" spans="1:15" x14ac:dyDescent="0.2">
      <c r="A46" s="410">
        <v>182</v>
      </c>
      <c r="B46" t="s">
        <v>711</v>
      </c>
      <c r="C46" s="73">
        <f>+'182 MEDIC'!C17</f>
        <v>1485</v>
      </c>
      <c r="D46" s="73">
        <f>+'182 MEDIC'!D17</f>
        <v>0</v>
      </c>
      <c r="E46" s="73">
        <f>+'182 MEDIC'!E17</f>
        <v>676</v>
      </c>
      <c r="F46" s="73">
        <f>+'182 MEDIC'!F17</f>
        <v>776</v>
      </c>
      <c r="G46" s="73">
        <f>+'182 MEDIC'!G17</f>
        <v>984</v>
      </c>
      <c r="H46" s="73">
        <f>+'182 MEDIC'!H17</f>
        <v>884</v>
      </c>
      <c r="I46" s="73">
        <f>+'182 MEDIC'!I17</f>
        <v>882.6</v>
      </c>
      <c r="J46" s="73">
        <f>+'182 MEDIC'!J17</f>
        <v>1000</v>
      </c>
      <c r="K46" s="73">
        <f>ROUND((+'182 MEDIC'!L17),0)</f>
        <v>5000</v>
      </c>
      <c r="L46" s="269">
        <f>+'182 MEDIC'!M17</f>
        <v>5000</v>
      </c>
      <c r="M46" s="73"/>
      <c r="O46" s="75"/>
    </row>
    <row r="47" spans="1:15" x14ac:dyDescent="0.2">
      <c r="A47" s="410">
        <v>190</v>
      </c>
      <c r="B47" t="s">
        <v>565</v>
      </c>
      <c r="C47" s="232">
        <f>+'190 Publ Bldg Utilities'!C41</f>
        <v>89938.37</v>
      </c>
      <c r="D47" s="232">
        <f>+'190 Publ Bldg Utilities'!D41</f>
        <v>103744.03</v>
      </c>
      <c r="E47" s="232">
        <f>+'190 Publ Bldg Utilities'!E41</f>
        <v>94949.29</v>
      </c>
      <c r="F47" s="232">
        <f>+'190 Publ Bldg Utilities'!F41</f>
        <v>93004.470000000016</v>
      </c>
      <c r="G47" s="232">
        <f>+'190 Publ Bldg Utilities'!G41</f>
        <v>86631.79</v>
      </c>
      <c r="H47" s="232">
        <f>+'190 Publ Bldg Utilities'!H41</f>
        <v>88374.909999999974</v>
      </c>
      <c r="I47" s="232">
        <f>+'190 Publ Bldg Utilities'!I41</f>
        <v>92714.789999999964</v>
      </c>
      <c r="J47" s="232">
        <f>+'190 Publ Bldg Utilities'!J41</f>
        <v>119570</v>
      </c>
      <c r="K47" s="232">
        <f>ROUND((+'190 Publ Bldg Utilities'!L41),0)</f>
        <v>141320</v>
      </c>
      <c r="L47" s="310">
        <f>+'190 Publ Bldg Utilities'!M41</f>
        <v>141320</v>
      </c>
      <c r="M47" s="232"/>
      <c r="O47" s="75"/>
    </row>
    <row r="48" spans="1:15" x14ac:dyDescent="0.2">
      <c r="C48" s="75"/>
      <c r="D48" s="75"/>
      <c r="E48" s="75"/>
      <c r="F48" s="75"/>
      <c r="G48" s="75"/>
      <c r="H48" s="75"/>
      <c r="I48" s="75"/>
      <c r="J48" s="75"/>
      <c r="K48" s="75"/>
      <c r="L48" s="278"/>
      <c r="M48" s="2"/>
      <c r="O48" s="75"/>
    </row>
    <row r="49" spans="1:21" x14ac:dyDescent="0.2">
      <c r="B49" t="s">
        <v>288</v>
      </c>
      <c r="C49" s="75">
        <f t="shared" ref="C49:L49" si="4">SUM(C32:C48)</f>
        <v>1010166.63</v>
      </c>
      <c r="D49" s="75">
        <f t="shared" si="4"/>
        <v>1002859.89</v>
      </c>
      <c r="E49" s="75">
        <f t="shared" si="4"/>
        <v>1102775.54</v>
      </c>
      <c r="F49" s="75">
        <f t="shared" si="4"/>
        <v>1130593.1300000004</v>
      </c>
      <c r="G49" s="75">
        <f t="shared" si="4"/>
        <v>1195735.9800000002</v>
      </c>
      <c r="H49" s="75">
        <f t="shared" si="4"/>
        <v>1188527.3699999999</v>
      </c>
      <c r="I49" s="75">
        <f t="shared" si="4"/>
        <v>1214014.3500000001</v>
      </c>
      <c r="J49" s="75">
        <f t="shared" ref="J49" si="5">SUM(J32:J48)</f>
        <v>1359065</v>
      </c>
      <c r="K49" s="75">
        <f t="shared" si="4"/>
        <v>1428587</v>
      </c>
      <c r="L49" s="278">
        <f t="shared" si="4"/>
        <v>1428587.21</v>
      </c>
      <c r="M49" s="2"/>
      <c r="O49" s="75"/>
    </row>
    <row r="50" spans="1:21" x14ac:dyDescent="0.2">
      <c r="C50" s="75"/>
      <c r="D50" s="75"/>
      <c r="E50" s="75"/>
      <c r="F50" s="75"/>
      <c r="G50" s="75"/>
      <c r="H50" s="75"/>
      <c r="I50" s="75"/>
      <c r="J50" s="75"/>
      <c r="K50" s="75"/>
      <c r="L50" s="278"/>
      <c r="M50" s="2"/>
      <c r="O50" s="75"/>
    </row>
    <row r="51" spans="1:21" x14ac:dyDescent="0.2">
      <c r="B51" t="s">
        <v>289</v>
      </c>
      <c r="C51" s="75"/>
      <c r="D51" s="75"/>
      <c r="E51" s="75"/>
      <c r="F51" s="75"/>
      <c r="G51" s="75"/>
      <c r="H51" s="75"/>
      <c r="I51" s="75"/>
      <c r="J51" s="75"/>
      <c r="K51" s="75"/>
      <c r="L51" s="278"/>
      <c r="M51" s="2"/>
      <c r="O51" s="75"/>
    </row>
    <row r="52" spans="1:21" x14ac:dyDescent="0.2">
      <c r="A52" s="410">
        <v>211</v>
      </c>
      <c r="B52" t="s">
        <v>290</v>
      </c>
      <c r="C52" s="75">
        <f>+'211 Police'!C58-'211 Police'!C56</f>
        <v>1203014.26</v>
      </c>
      <c r="D52" s="75">
        <f>+'211 Police'!D58-'211 Police'!D56</f>
        <v>1263124.29</v>
      </c>
      <c r="E52" s="75">
        <f>+'211 Police'!E58-'211 Police'!E56</f>
        <v>1370950.0999999999</v>
      </c>
      <c r="F52" s="75">
        <f>+'211 Police'!F58-'211 Police'!F56</f>
        <v>1410262.7999999998</v>
      </c>
      <c r="G52" s="75">
        <f>+'211 Police'!G58-'211 Police'!G56</f>
        <v>1470652.1500000001</v>
      </c>
      <c r="H52" s="75">
        <f>+'211 Police'!H58-'211 Police'!H56</f>
        <v>1309212.4100000001</v>
      </c>
      <c r="I52" s="75">
        <f>+'211 Police'!I58-'211 Police'!I56</f>
        <v>1550896.98</v>
      </c>
      <c r="J52" s="75">
        <f>+'211 Police'!J58-'211 Police'!J56</f>
        <v>1652537</v>
      </c>
      <c r="K52" s="75">
        <f>ROUND((+'211 Police'!L58-'211 Police'!L56),0)</f>
        <v>1698119</v>
      </c>
      <c r="L52" s="375">
        <f>+'211 Police'!M58-'211 Police'!M56</f>
        <v>1698119</v>
      </c>
      <c r="O52" s="75"/>
    </row>
    <row r="53" spans="1:21" x14ac:dyDescent="0.2">
      <c r="A53" s="410">
        <v>211</v>
      </c>
      <c r="B53" t="s">
        <v>596</v>
      </c>
      <c r="C53" s="75">
        <f>+'211 Police'!C56</f>
        <v>36895.4</v>
      </c>
      <c r="D53" s="75">
        <f>+'211 Police'!D56</f>
        <v>39483.5</v>
      </c>
      <c r="E53" s="75">
        <f>+'211 Police'!E56</f>
        <v>39102.5</v>
      </c>
      <c r="F53" s="75">
        <f>+'211 Police'!F56</f>
        <v>39498.1</v>
      </c>
      <c r="G53" s="75">
        <f>+'211 Police'!G56</f>
        <v>39500</v>
      </c>
      <c r="H53" s="75">
        <f>+'211 Police'!H56</f>
        <v>41424</v>
      </c>
      <c r="I53" s="75">
        <f>+'211 Police'!I56</f>
        <v>34000</v>
      </c>
      <c r="J53" s="75">
        <f>+'211 Police'!J56</f>
        <v>51600</v>
      </c>
      <c r="K53" s="75">
        <f>ROUND((+'211 Police'!L56),0)</f>
        <v>53000</v>
      </c>
      <c r="L53" s="375">
        <f>+'211 Police'!M56</f>
        <v>53000</v>
      </c>
      <c r="O53" s="75"/>
    </row>
    <row r="54" spans="1:21" x14ac:dyDescent="0.2">
      <c r="A54" s="410">
        <v>212</v>
      </c>
      <c r="B54" t="s">
        <v>435</v>
      </c>
      <c r="C54" s="75">
        <f>+'212 Dispatch'!C26</f>
        <v>219830.37</v>
      </c>
      <c r="D54" s="75">
        <f>+'212 Dispatch'!D26</f>
        <v>247066.76000000004</v>
      </c>
      <c r="E54" s="75">
        <f>+'212 Dispatch'!E26</f>
        <v>261015.62</v>
      </c>
      <c r="F54" s="75">
        <f>+'212 Dispatch'!F26</f>
        <v>261095.52</v>
      </c>
      <c r="G54" s="75">
        <f>+'212 Dispatch'!G26</f>
        <v>268261.88000000006</v>
      </c>
      <c r="H54" s="75">
        <f>+'212 Dispatch'!H26</f>
        <v>297260.07</v>
      </c>
      <c r="I54" s="75">
        <f>+'212 Dispatch'!I26</f>
        <v>299708.75999999995</v>
      </c>
      <c r="J54" s="75">
        <f>+'212 Dispatch'!J26</f>
        <v>312299</v>
      </c>
      <c r="K54" s="75">
        <f>ROUND((+'212 Dispatch'!L26),0)</f>
        <v>311584</v>
      </c>
      <c r="L54" s="278">
        <f>+'212 Dispatch'!M26</f>
        <v>311584</v>
      </c>
      <c r="O54" s="75"/>
    </row>
    <row r="55" spans="1:21" x14ac:dyDescent="0.2">
      <c r="A55" s="410">
        <v>241</v>
      </c>
      <c r="B55" t="s">
        <v>291</v>
      </c>
      <c r="C55" s="75">
        <f>+'241 Bldg'!C34</f>
        <v>111725.37000000001</v>
      </c>
      <c r="D55" s="75">
        <f>+'241 Bldg'!D34</f>
        <v>114463.61999999998</v>
      </c>
      <c r="E55" s="75">
        <f>+'241 Bldg'!E34</f>
        <v>118337.56</v>
      </c>
      <c r="F55" s="75">
        <f>+'241 Bldg'!F34</f>
        <v>123515.03</v>
      </c>
      <c r="G55" s="75">
        <f>+'241 Bldg'!G34</f>
        <v>124191.90999999999</v>
      </c>
      <c r="H55" s="75">
        <f>+'241 Bldg'!H34</f>
        <v>142151.04999999999</v>
      </c>
      <c r="I55" s="75">
        <f>+'241 Bldg'!I34</f>
        <v>124218.98</v>
      </c>
      <c r="J55" s="75">
        <f>+'241 Bldg'!J34</f>
        <v>140080</v>
      </c>
      <c r="K55" s="75">
        <f>ROUND((+'241 Bldg'!L34),0)</f>
        <v>141444</v>
      </c>
      <c r="L55" s="278">
        <f>+'241 Bldg'!M34</f>
        <v>141444</v>
      </c>
      <c r="O55" s="75"/>
    </row>
    <row r="56" spans="1:21" x14ac:dyDescent="0.2">
      <c r="A56" s="410">
        <v>244</v>
      </c>
      <c r="B56" t="s">
        <v>569</v>
      </c>
      <c r="C56" s="75">
        <f>+'244 Sealer'!C12</f>
        <v>2750</v>
      </c>
      <c r="D56" s="75">
        <f>+'244 Sealer'!D12</f>
        <v>2750</v>
      </c>
      <c r="E56" s="75">
        <f>+'244 Sealer'!E12</f>
        <v>2750</v>
      </c>
      <c r="F56" s="75">
        <f>+'244 Sealer'!F12</f>
        <v>2750</v>
      </c>
      <c r="G56" s="75">
        <f>+'244 Sealer'!G12</f>
        <v>2750</v>
      </c>
      <c r="H56" s="75">
        <f>+'244 Sealer'!H12</f>
        <v>2750</v>
      </c>
      <c r="I56" s="75">
        <f>+'244 Sealer'!I12</f>
        <v>2750</v>
      </c>
      <c r="J56" s="75">
        <f>+'244 Sealer'!J12</f>
        <v>2750</v>
      </c>
      <c r="K56" s="75">
        <f>ROUND((+'244 Sealer'!L12),0)</f>
        <v>2750</v>
      </c>
      <c r="L56" s="278">
        <f>+'244 Sealer'!M12</f>
        <v>2750</v>
      </c>
      <c r="O56" s="75"/>
    </row>
    <row r="57" spans="1:21" x14ac:dyDescent="0.2">
      <c r="A57" s="410">
        <v>291</v>
      </c>
      <c r="B57" t="s">
        <v>293</v>
      </c>
      <c r="C57" s="75">
        <f>+'291 Emergency'!C16</f>
        <v>5490</v>
      </c>
      <c r="D57" s="75">
        <f>+'291 Emergency'!D16</f>
        <v>5590</v>
      </c>
      <c r="E57" s="75">
        <f>+'291 Emergency'!E16</f>
        <v>5590</v>
      </c>
      <c r="F57" s="75">
        <f>+'291 Emergency'!F16</f>
        <v>5640</v>
      </c>
      <c r="G57" s="75">
        <f>+'291 Emergency'!G16</f>
        <v>5490</v>
      </c>
      <c r="H57" s="75">
        <f>+'291 Emergency'!H16</f>
        <v>5490</v>
      </c>
      <c r="I57" s="75">
        <f>+'291 Emergency'!I16</f>
        <v>5490</v>
      </c>
      <c r="J57" s="75">
        <f>+'291 Emergency'!J16</f>
        <v>5765</v>
      </c>
      <c r="K57" s="75">
        <f>ROUND((+'291 Emergency'!L16),0)</f>
        <v>5765</v>
      </c>
      <c r="L57" s="278">
        <f>+'291 Emergency'!M16</f>
        <v>5765</v>
      </c>
      <c r="O57" s="75"/>
    </row>
    <row r="58" spans="1:21" x14ac:dyDescent="0.2">
      <c r="A58" s="410">
        <v>292</v>
      </c>
      <c r="B58" t="s">
        <v>294</v>
      </c>
      <c r="C58" s="75">
        <f>+'292 Animal'!C16</f>
        <v>3869.81</v>
      </c>
      <c r="D58" s="75">
        <f>+'292 Animal'!D16</f>
        <v>12240.720000000001</v>
      </c>
      <c r="E58" s="75">
        <f>+'292 Animal'!E16</f>
        <v>16352.41</v>
      </c>
      <c r="F58" s="75">
        <f>+'292 Animal'!F16</f>
        <v>16526.579999999998</v>
      </c>
      <c r="G58" s="75">
        <f>+'292 Animal'!G16</f>
        <v>17994.600000000002</v>
      </c>
      <c r="H58" s="75">
        <f>+'292 Animal'!H16</f>
        <v>18281.5</v>
      </c>
      <c r="I58" s="75">
        <f>+'292 Animal'!I16</f>
        <v>19156.59</v>
      </c>
      <c r="J58" s="75">
        <f>+'292 Animal'!J16</f>
        <v>20057</v>
      </c>
      <c r="K58" s="75">
        <f>ROUND((+'292 Animal'!L16),0)</f>
        <v>20414</v>
      </c>
      <c r="L58" s="312">
        <f>+'292 Animal'!M21</f>
        <v>20414</v>
      </c>
      <c r="O58" s="75"/>
      <c r="P58"/>
      <c r="Q58"/>
      <c r="R58"/>
      <c r="S58"/>
      <c r="T58"/>
      <c r="U58"/>
    </row>
    <row r="59" spans="1:21" hidden="1" x14ac:dyDescent="0.2">
      <c r="A59" s="410"/>
      <c r="B59" s="254" t="s">
        <v>1027</v>
      </c>
      <c r="C59" s="75">
        <f>+'292 Animal'!C19</f>
        <v>0</v>
      </c>
      <c r="D59" s="75">
        <f>+'292 Animal'!D19</f>
        <v>0</v>
      </c>
      <c r="E59" s="75">
        <f>+'292 Animal'!E19</f>
        <v>0</v>
      </c>
      <c r="F59" s="75">
        <f>+'292 Animal'!F19</f>
        <v>0</v>
      </c>
      <c r="G59" s="75">
        <f>+'292 Animal'!G19</f>
        <v>0</v>
      </c>
      <c r="H59" s="75">
        <f>+'292 Animal'!H19</f>
        <v>7883.74</v>
      </c>
      <c r="I59" s="75">
        <f>+'292 Animal'!I19</f>
        <v>0</v>
      </c>
      <c r="J59" s="75">
        <f>+'292 Animal'!J19</f>
        <v>0</v>
      </c>
      <c r="K59" s="75">
        <f>+'292 Animal'!L19</f>
        <v>0</v>
      </c>
      <c r="L59" s="278"/>
      <c r="O59" s="75"/>
      <c r="P59"/>
      <c r="Q59"/>
      <c r="R59"/>
      <c r="S59"/>
      <c r="T59"/>
      <c r="U59"/>
    </row>
    <row r="60" spans="1:21" x14ac:dyDescent="0.2">
      <c r="A60" s="410">
        <v>294</v>
      </c>
      <c r="B60" t="s">
        <v>295</v>
      </c>
      <c r="C60" s="75">
        <f>+'294 Forest Warden'!C12</f>
        <v>1584</v>
      </c>
      <c r="D60" s="75">
        <f>+'294 Forest Warden'!D12</f>
        <v>1631</v>
      </c>
      <c r="E60" s="75">
        <f>+'294 Forest Warden'!E12</f>
        <v>1631</v>
      </c>
      <c r="F60" s="75">
        <f>+'294 Forest Warden'!F12</f>
        <v>1631</v>
      </c>
      <c r="G60" s="75">
        <f>+'294 Forest Warden'!G12</f>
        <v>1631</v>
      </c>
      <c r="H60" s="75">
        <f>+'294 Forest Warden'!H12</f>
        <v>1631</v>
      </c>
      <c r="I60" s="75">
        <f>+'294 Forest Warden'!I12</f>
        <v>1631</v>
      </c>
      <c r="J60" s="75">
        <f>+'294 Forest Warden'!J12</f>
        <v>1710</v>
      </c>
      <c r="K60" s="75">
        <f>ROUND((+'294 Forest Warden'!L12),0)</f>
        <v>1710</v>
      </c>
      <c r="L60" s="278">
        <f>+'294 Forest Warden'!M12</f>
        <v>1710</v>
      </c>
      <c r="O60" s="75"/>
      <c r="P60"/>
      <c r="Q60"/>
      <c r="R60"/>
      <c r="S60"/>
      <c r="T60"/>
      <c r="U60"/>
    </row>
    <row r="61" spans="1:21" x14ac:dyDescent="0.2">
      <c r="A61" s="410">
        <v>299</v>
      </c>
      <c r="B61" t="s">
        <v>1</v>
      </c>
      <c r="C61" s="75">
        <f>+'299 Tree Warden'!C19</f>
        <v>11817.089999999998</v>
      </c>
      <c r="D61" s="75">
        <f>+'299 Tree Warden'!D19</f>
        <v>11889.699999999999</v>
      </c>
      <c r="E61" s="75">
        <f>+'299 Tree Warden'!E19</f>
        <v>12951.44</v>
      </c>
      <c r="F61" s="75">
        <f>+'299 Tree Warden'!F19</f>
        <v>12826.49</v>
      </c>
      <c r="G61" s="75">
        <f>+'299 Tree Warden'!G19</f>
        <v>13716</v>
      </c>
      <c r="H61" s="75">
        <f>+'299 Tree Warden'!H19</f>
        <v>16680.8</v>
      </c>
      <c r="I61" s="75">
        <f>+'299 Tree Warden'!I19</f>
        <v>17045.5</v>
      </c>
      <c r="J61" s="75">
        <f>+'299 Tree Warden'!J19</f>
        <v>18285</v>
      </c>
      <c r="K61" s="75">
        <f>ROUND((+'299 Tree Warden'!L19),0)</f>
        <v>20285</v>
      </c>
      <c r="L61" s="278">
        <f>+'299 Tree Warden'!M19</f>
        <v>20285</v>
      </c>
      <c r="O61" s="75"/>
      <c r="P61"/>
      <c r="Q61"/>
      <c r="R61"/>
      <c r="S61"/>
      <c r="T61"/>
      <c r="U61"/>
    </row>
    <row r="62" spans="1:21" x14ac:dyDescent="0.2">
      <c r="A62" s="410"/>
      <c r="C62" s="75"/>
      <c r="D62" s="75"/>
      <c r="E62" s="75"/>
      <c r="F62" s="75"/>
      <c r="G62" s="75"/>
      <c r="H62" s="75"/>
      <c r="I62" s="75"/>
      <c r="J62" s="75"/>
      <c r="K62" s="75"/>
      <c r="L62" s="278"/>
      <c r="O62" s="75"/>
      <c r="P62"/>
      <c r="Q62"/>
      <c r="R62"/>
      <c r="S62"/>
      <c r="T62"/>
      <c r="U62"/>
    </row>
    <row r="63" spans="1:21" x14ac:dyDescent="0.2">
      <c r="B63" t="s">
        <v>296</v>
      </c>
      <c r="C63" s="75">
        <f>SUM(C52:C61)</f>
        <v>1596976.3</v>
      </c>
      <c r="D63" s="75">
        <f>SUM(D52:D61)</f>
        <v>1698239.5899999999</v>
      </c>
      <c r="E63" s="75">
        <f>SUM(E52:E61)</f>
        <v>1828680.6299999997</v>
      </c>
      <c r="F63" s="75">
        <f>SUM(F52:F61)</f>
        <v>1873745.52</v>
      </c>
      <c r="G63" s="75">
        <f>SUM(G52:G61)</f>
        <v>1944187.5400000003</v>
      </c>
      <c r="H63" s="75">
        <f>SUM(H52:H62)</f>
        <v>1842764.5700000003</v>
      </c>
      <c r="I63" s="75">
        <f>SUM(I52:I62)</f>
        <v>2054897.81</v>
      </c>
      <c r="J63" s="75">
        <f>SUM(J52:J62)</f>
        <v>2205083</v>
      </c>
      <c r="K63" s="75">
        <f>SUM(K52:K62)</f>
        <v>2255071</v>
      </c>
      <c r="L63" s="75">
        <f>SUM(L52:L62)</f>
        <v>2255071</v>
      </c>
      <c r="M63" s="2"/>
      <c r="O63" s="75"/>
      <c r="P63"/>
      <c r="Q63"/>
      <c r="R63"/>
      <c r="S63"/>
      <c r="T63"/>
      <c r="U63"/>
    </row>
    <row r="64" spans="1:21" x14ac:dyDescent="0.2">
      <c r="C64" s="75"/>
      <c r="D64" s="75"/>
      <c r="E64" s="75"/>
      <c r="F64" s="75"/>
      <c r="G64" s="75"/>
      <c r="H64" s="75"/>
      <c r="I64" s="75"/>
      <c r="J64" s="75"/>
      <c r="K64" s="75"/>
      <c r="L64" s="278"/>
      <c r="M64" s="2"/>
      <c r="O64" s="75"/>
      <c r="P64"/>
      <c r="Q64"/>
      <c r="R64"/>
      <c r="S64"/>
      <c r="T64"/>
      <c r="U64"/>
    </row>
    <row r="65" spans="1:21" x14ac:dyDescent="0.2">
      <c r="B65" t="s">
        <v>297</v>
      </c>
      <c r="C65" s="75"/>
      <c r="D65" s="75"/>
      <c r="E65" s="75"/>
      <c r="F65" s="75"/>
      <c r="G65" s="75"/>
      <c r="H65" s="75"/>
      <c r="I65" s="75"/>
      <c r="J65" s="75"/>
      <c r="K65" s="75"/>
      <c r="L65" s="278"/>
      <c r="M65" s="2"/>
      <c r="O65" s="75"/>
      <c r="P65"/>
      <c r="Q65"/>
      <c r="R65"/>
      <c r="S65"/>
      <c r="T65"/>
      <c r="U65"/>
    </row>
    <row r="66" spans="1:21" x14ac:dyDescent="0.2">
      <c r="A66" s="410">
        <v>420</v>
      </c>
      <c r="B66" t="s">
        <v>564</v>
      </c>
      <c r="C66" s="75">
        <f>+'420 DPW'!C60</f>
        <v>961847.43</v>
      </c>
      <c r="D66" s="75">
        <f>+'420 DPW'!D60</f>
        <v>1059583.8599999999</v>
      </c>
      <c r="E66" s="75">
        <f>+'420 DPW'!E60</f>
        <v>1131643.6700000004</v>
      </c>
      <c r="F66" s="75">
        <f>+'420 DPW'!F60</f>
        <v>1126607.77</v>
      </c>
      <c r="G66" s="75">
        <f>+'420 DPW'!G60</f>
        <v>1120246.68</v>
      </c>
      <c r="H66" s="75">
        <f>+'420 DPW'!H60</f>
        <v>1203442.93</v>
      </c>
      <c r="I66" s="75">
        <f>+'420 DPW'!I55+'420 DPW'!I17</f>
        <v>1292641</v>
      </c>
      <c r="J66" s="75">
        <f>+'420 DPW'!J55+'420 DPW'!J17</f>
        <v>1407163</v>
      </c>
      <c r="K66" s="75">
        <f>ROUND((+'420 DPW'!L55+'420 DPW'!L17),0)</f>
        <v>1441408</v>
      </c>
      <c r="L66" s="75">
        <f>+'420 DPW'!M55+'420 DPW'!M17</f>
        <v>1441408</v>
      </c>
      <c r="O66" s="432"/>
      <c r="P66"/>
      <c r="Q66"/>
      <c r="R66"/>
      <c r="S66"/>
      <c r="T66"/>
      <c r="U66"/>
    </row>
    <row r="67" spans="1:21" x14ac:dyDescent="0.2">
      <c r="A67" s="410"/>
      <c r="B67" t="s">
        <v>1170</v>
      </c>
      <c r="C67" s="75"/>
      <c r="D67" s="75"/>
      <c r="E67" s="75"/>
      <c r="F67" s="75"/>
      <c r="G67" s="75"/>
      <c r="H67" s="75"/>
      <c r="I67" s="75">
        <f>+'422 Maintenance'!I51</f>
        <v>21320.41</v>
      </c>
      <c r="J67" s="75">
        <f>+'420 DPW'!J58</f>
        <v>24090</v>
      </c>
      <c r="K67" s="75">
        <f>ROUND((+'420 DPW'!L58),0)</f>
        <v>24090</v>
      </c>
      <c r="L67" s="75">
        <f>+'420 DPW'!M58</f>
        <v>24090</v>
      </c>
      <c r="O67" s="432"/>
      <c r="P67"/>
      <c r="Q67"/>
      <c r="R67"/>
      <c r="S67"/>
      <c r="T67"/>
      <c r="U67"/>
    </row>
    <row r="68" spans="1:21" x14ac:dyDescent="0.2">
      <c r="A68" s="410">
        <v>423</v>
      </c>
      <c r="B68" t="s">
        <v>298</v>
      </c>
      <c r="C68" s="75">
        <f>+'423 Snow'!C20</f>
        <v>160444.29999999999</v>
      </c>
      <c r="D68" s="75">
        <f>+'423 Snow'!D20</f>
        <v>210140.56</v>
      </c>
      <c r="E68" s="75">
        <f>+'423 Snow'!E20</f>
        <v>219244.89</v>
      </c>
      <c r="F68" s="75">
        <f>+'423 Snow'!F20</f>
        <v>123759.04000000001</v>
      </c>
      <c r="G68" s="75">
        <f>+'423 Snow'!G20</f>
        <v>205328.90000000002</v>
      </c>
      <c r="H68" s="75">
        <f>+'423 Snow'!H20</f>
        <v>222597.99</v>
      </c>
      <c r="I68" s="75">
        <f>+'423 Snow'!I20</f>
        <v>200141.16999999998</v>
      </c>
      <c r="J68" s="75">
        <f>+'423 Snow'!J20</f>
        <v>254250</v>
      </c>
      <c r="K68" s="75">
        <f>ROUND((+'423 Snow'!L20),0)</f>
        <v>278050</v>
      </c>
      <c r="L68" s="278">
        <f>+'423 Snow'!M20</f>
        <v>278050</v>
      </c>
      <c r="O68" s="75"/>
      <c r="P68"/>
      <c r="Q68"/>
      <c r="R68"/>
      <c r="S68"/>
      <c r="T68"/>
      <c r="U68"/>
    </row>
    <row r="69" spans="1:21" x14ac:dyDescent="0.2">
      <c r="A69" s="410">
        <v>433</v>
      </c>
      <c r="B69" t="s">
        <v>440</v>
      </c>
      <c r="C69" s="75">
        <f>+'433 Solid Waste'!C26</f>
        <v>429438.93999999994</v>
      </c>
      <c r="D69" s="75">
        <f>+'433 Solid Waste'!D26</f>
        <v>431107.1</v>
      </c>
      <c r="E69" s="75">
        <f>+'433 Solid Waste'!E26</f>
        <v>408831.09</v>
      </c>
      <c r="F69" s="75">
        <f>+'433 Solid Waste'!F26</f>
        <v>433084.91999999993</v>
      </c>
      <c r="G69" s="75">
        <f>+'433 Solid Waste'!G26</f>
        <v>424079.87999999995</v>
      </c>
      <c r="H69" s="75">
        <f>+'433 Solid Waste'!H26</f>
        <v>441302.8</v>
      </c>
      <c r="I69" s="75">
        <f>+'433 Solid Waste'!I26</f>
        <v>458147.52</v>
      </c>
      <c r="J69" s="75">
        <f>+'433 Solid Waste'!J26</f>
        <v>519983</v>
      </c>
      <c r="K69" s="75">
        <f>ROUND((+'433 Solid Waste'!L26),0)</f>
        <v>598886</v>
      </c>
      <c r="L69" s="278">
        <f>+'433 Solid Waste'!M26</f>
        <v>598886</v>
      </c>
      <c r="O69" s="75"/>
      <c r="P69"/>
      <c r="Q69"/>
      <c r="R69"/>
      <c r="S69"/>
      <c r="T69"/>
      <c r="U69"/>
    </row>
    <row r="70" spans="1:21" x14ac:dyDescent="0.2">
      <c r="A70" s="410">
        <v>480</v>
      </c>
      <c r="B70" s="254" t="s">
        <v>1507</v>
      </c>
      <c r="C70" s="75"/>
      <c r="D70" s="75"/>
      <c r="E70" s="75"/>
      <c r="F70" s="75"/>
      <c r="G70" s="75"/>
      <c r="H70" s="75"/>
      <c r="I70" s="75"/>
      <c r="J70" s="75"/>
      <c r="K70" s="75">
        <f>ROUND((+'480 Charging Stations'!L15),0)</f>
        <v>7000</v>
      </c>
      <c r="L70" s="75">
        <f>+'480 Charging Stations'!M15</f>
        <v>7000</v>
      </c>
      <c r="O70" s="75"/>
      <c r="P70"/>
      <c r="Q70"/>
      <c r="R70"/>
      <c r="S70"/>
      <c r="T70"/>
      <c r="U70"/>
    </row>
    <row r="71" spans="1:21" x14ac:dyDescent="0.2">
      <c r="A71" s="410">
        <v>491</v>
      </c>
      <c r="B71" t="s">
        <v>300</v>
      </c>
      <c r="C71" s="75">
        <f>+'491 Cemetery'!C17</f>
        <v>4741</v>
      </c>
      <c r="D71" s="75">
        <f>+'491 Cemetery'!D17</f>
        <v>2715</v>
      </c>
      <c r="E71" s="75">
        <f>+'491 Cemetery'!E17</f>
        <v>5850</v>
      </c>
      <c r="F71" s="75">
        <f>+'491 Cemetery'!F17</f>
        <v>6360</v>
      </c>
      <c r="G71" s="75">
        <f>+'491 Cemetery'!G17</f>
        <v>6040</v>
      </c>
      <c r="H71" s="75">
        <f>+'491 Cemetery'!H17</f>
        <v>5440</v>
      </c>
      <c r="I71" s="75">
        <f>+'491 Cemetery'!I17</f>
        <v>6955</v>
      </c>
      <c r="J71" s="75">
        <f>+'491 Cemetery'!J17</f>
        <v>7000</v>
      </c>
      <c r="K71" s="75">
        <f>ROUND((+'491 Cemetery'!L17),0)</f>
        <v>7000</v>
      </c>
      <c r="L71" s="278">
        <f>+'491 Cemetery'!M17</f>
        <v>7000</v>
      </c>
      <c r="O71" s="75"/>
      <c r="P71"/>
      <c r="Q71"/>
      <c r="R71"/>
      <c r="S71"/>
      <c r="T71"/>
      <c r="U71"/>
    </row>
    <row r="72" spans="1:21" x14ac:dyDescent="0.2">
      <c r="C72" s="75"/>
      <c r="D72" s="75"/>
      <c r="E72" s="75"/>
      <c r="F72" s="75"/>
      <c r="G72" s="75"/>
      <c r="H72" s="75"/>
      <c r="I72" s="75"/>
      <c r="J72" s="75"/>
      <c r="K72" s="75"/>
      <c r="L72" s="278"/>
      <c r="M72" s="2"/>
      <c r="O72" s="75"/>
      <c r="P72"/>
      <c r="Q72"/>
      <c r="R72"/>
      <c r="S72"/>
      <c r="T72"/>
      <c r="U72"/>
    </row>
    <row r="73" spans="1:21" x14ac:dyDescent="0.2">
      <c r="B73" t="s">
        <v>301</v>
      </c>
      <c r="C73" s="75">
        <f t="shared" ref="C73:L73" si="6">SUM(C66:C72)</f>
        <v>1556471.67</v>
      </c>
      <c r="D73" s="75">
        <f t="shared" si="6"/>
        <v>1703546.52</v>
      </c>
      <c r="E73" s="75">
        <f t="shared" si="6"/>
        <v>1765569.6500000006</v>
      </c>
      <c r="F73" s="75">
        <f t="shared" si="6"/>
        <v>1689811.73</v>
      </c>
      <c r="G73" s="75">
        <f t="shared" si="6"/>
        <v>1755695.46</v>
      </c>
      <c r="H73" s="75">
        <f t="shared" si="6"/>
        <v>1872783.72</v>
      </c>
      <c r="I73" s="75">
        <f>SUM(I66:I72)</f>
        <v>1979205.0999999999</v>
      </c>
      <c r="J73" s="75">
        <f t="shared" ref="J73" si="7">SUM(J66:J72)</f>
        <v>2212486</v>
      </c>
      <c r="K73" s="75">
        <f t="shared" si="6"/>
        <v>2356434</v>
      </c>
      <c r="L73" s="278">
        <f t="shared" si="6"/>
        <v>2356434</v>
      </c>
      <c r="M73" s="2"/>
      <c r="O73" s="75"/>
      <c r="P73"/>
      <c r="Q73"/>
      <c r="R73"/>
      <c r="S73"/>
      <c r="T73"/>
      <c r="U73"/>
    </row>
    <row r="74" spans="1:21" x14ac:dyDescent="0.2">
      <c r="C74" s="75"/>
      <c r="D74" s="75"/>
      <c r="E74" s="75"/>
      <c r="F74" s="75"/>
      <c r="G74" s="75"/>
      <c r="H74" s="75"/>
      <c r="I74" s="75"/>
      <c r="J74" s="75"/>
      <c r="K74" s="75"/>
      <c r="L74" s="278"/>
      <c r="M74" s="2"/>
      <c r="O74" s="75"/>
      <c r="P74"/>
      <c r="Q74"/>
      <c r="R74"/>
      <c r="S74"/>
      <c r="T74"/>
      <c r="U74"/>
    </row>
    <row r="75" spans="1:21" x14ac:dyDescent="0.2">
      <c r="B75" t="s">
        <v>302</v>
      </c>
      <c r="C75" s="75"/>
      <c r="D75" s="75"/>
      <c r="E75" s="75"/>
      <c r="F75" s="75"/>
      <c r="G75" s="75"/>
      <c r="H75" s="75"/>
      <c r="I75" s="75"/>
      <c r="J75" s="75"/>
      <c r="K75" s="75"/>
      <c r="L75" s="278"/>
      <c r="M75" s="2"/>
      <c r="O75" s="75"/>
      <c r="P75"/>
      <c r="Q75"/>
      <c r="R75"/>
      <c r="S75"/>
      <c r="T75"/>
      <c r="U75"/>
    </row>
    <row r="76" spans="1:21" x14ac:dyDescent="0.2">
      <c r="C76" s="75"/>
      <c r="D76" s="75"/>
      <c r="E76" s="75"/>
      <c r="F76" s="75"/>
      <c r="G76" s="75"/>
      <c r="H76" s="75"/>
      <c r="I76" s="75"/>
      <c r="J76" s="75"/>
      <c r="K76" s="75"/>
      <c r="L76" s="278"/>
      <c r="M76" s="2"/>
      <c r="O76" s="75"/>
      <c r="P76"/>
      <c r="Q76"/>
      <c r="R76"/>
      <c r="S76"/>
      <c r="T76"/>
      <c r="U76"/>
    </row>
    <row r="77" spans="1:21" x14ac:dyDescent="0.2">
      <c r="A77" s="410">
        <v>511</v>
      </c>
      <c r="B77" t="s">
        <v>303</v>
      </c>
      <c r="C77" s="75">
        <f>+'511 BOH'!C38</f>
        <v>109258.64</v>
      </c>
      <c r="D77" s="75">
        <f>+'511 BOH'!D38</f>
        <v>120985.98999999999</v>
      </c>
      <c r="E77" s="75">
        <f>+'511 BOH'!E38</f>
        <v>119109.4</v>
      </c>
      <c r="F77" s="75">
        <f>+'511 BOH'!F38</f>
        <v>131182.04999999999</v>
      </c>
      <c r="G77" s="75">
        <f>+'511 BOH'!G38</f>
        <v>128828.22999999998</v>
      </c>
      <c r="H77" s="75">
        <f>+'511 BOH'!H38</f>
        <v>132189.9</v>
      </c>
      <c r="I77" s="75">
        <f>+'511 BOH'!I38</f>
        <v>129404.04000000001</v>
      </c>
      <c r="J77" s="75">
        <f>+'511 BOH'!J38</f>
        <v>146732</v>
      </c>
      <c r="K77" s="75">
        <f>ROUND((+'511 BOH'!L38),0)</f>
        <v>135948</v>
      </c>
      <c r="L77" s="278">
        <f>+'511 BOH'!M38</f>
        <v>135948</v>
      </c>
      <c r="O77" s="75"/>
      <c r="P77"/>
      <c r="Q77"/>
      <c r="R77"/>
      <c r="S77"/>
      <c r="T77"/>
      <c r="U77"/>
    </row>
    <row r="78" spans="1:21" x14ac:dyDescent="0.2">
      <c r="A78" s="410">
        <v>541</v>
      </c>
      <c r="B78" t="s">
        <v>305</v>
      </c>
      <c r="C78" s="75">
        <f>+'541 COA'!C26</f>
        <v>27212.79</v>
      </c>
      <c r="D78" s="75">
        <f>+'541 COA'!D26</f>
        <v>36745</v>
      </c>
      <c r="E78" s="75">
        <f>+'541 COA'!E26</f>
        <v>37843.519999999997</v>
      </c>
      <c r="F78" s="75">
        <f>+'541 COA'!F26</f>
        <v>38245.67</v>
      </c>
      <c r="G78" s="75">
        <f>+'541 COA'!G26</f>
        <v>42457.31</v>
      </c>
      <c r="H78" s="75">
        <f>+'541 COA'!H26</f>
        <v>42878.82</v>
      </c>
      <c r="I78" s="75">
        <f>+'541 COA'!I26</f>
        <v>43889</v>
      </c>
      <c r="J78" s="75">
        <f>+'541 COA'!J26</f>
        <v>46031</v>
      </c>
      <c r="K78" s="75">
        <f>ROUND((+'541 COA'!L26),0)</f>
        <v>46980</v>
      </c>
      <c r="L78" s="278">
        <f>+'541 COA'!M26</f>
        <v>46980</v>
      </c>
      <c r="O78" s="75"/>
      <c r="P78"/>
      <c r="Q78"/>
      <c r="R78"/>
      <c r="S78"/>
      <c r="T78"/>
      <c r="U78"/>
    </row>
    <row r="79" spans="1:21" x14ac:dyDescent="0.2">
      <c r="A79" s="410">
        <v>543</v>
      </c>
      <c r="B79" t="s">
        <v>307</v>
      </c>
      <c r="C79" s="75">
        <f>+'543 Vets'!C15</f>
        <v>143993.04</v>
      </c>
      <c r="D79" s="75">
        <f>+'543 Vets'!D15</f>
        <v>154826.14000000001</v>
      </c>
      <c r="E79" s="75">
        <f>+'543 Vets'!E15</f>
        <v>161951.34</v>
      </c>
      <c r="F79" s="75">
        <f>+'543 Vets'!F15</f>
        <v>144534.15</v>
      </c>
      <c r="G79" s="75">
        <f>+'543 Vets'!G15</f>
        <v>113174.07</v>
      </c>
      <c r="H79" s="75">
        <f>+'543 Vets'!H15</f>
        <v>84869.32</v>
      </c>
      <c r="I79" s="75">
        <f>+'543 Vets'!I15</f>
        <v>74175.16</v>
      </c>
      <c r="J79" s="75">
        <f>+'543 Vets'!J15</f>
        <v>96600</v>
      </c>
      <c r="K79" s="75">
        <f>ROUND((+'543 Vets'!L15),0)</f>
        <v>98400</v>
      </c>
      <c r="L79" s="278">
        <f>+'543 Vets'!M15</f>
        <v>98400</v>
      </c>
      <c r="O79" s="75"/>
      <c r="P79"/>
      <c r="Q79"/>
      <c r="R79"/>
      <c r="S79"/>
      <c r="T79"/>
      <c r="U79"/>
    </row>
    <row r="80" spans="1:21" x14ac:dyDescent="0.2">
      <c r="C80" s="75"/>
      <c r="D80" s="75"/>
      <c r="E80" s="75"/>
      <c r="F80" s="75"/>
      <c r="G80" s="75"/>
      <c r="H80" s="75"/>
      <c r="I80" s="75"/>
      <c r="J80" s="75"/>
      <c r="K80" s="75"/>
      <c r="L80" s="278"/>
      <c r="O80" s="75"/>
      <c r="P80"/>
      <c r="Q80"/>
      <c r="R80"/>
      <c r="S80"/>
      <c r="T80"/>
      <c r="U80"/>
    </row>
    <row r="81" spans="1:21" x14ac:dyDescent="0.2">
      <c r="B81" t="s">
        <v>308</v>
      </c>
      <c r="C81" s="75">
        <f>SUM(C62:C80)</f>
        <v>4990384.1099999994</v>
      </c>
      <c r="D81" s="75">
        <f>SUM(D62:D80)</f>
        <v>5417889.7599999998</v>
      </c>
      <c r="E81" s="75">
        <f>SUM(E62:E80)</f>
        <v>5678724.1900000004</v>
      </c>
      <c r="F81" s="75">
        <f>SUM(F62:F80)</f>
        <v>5567330.8500000006</v>
      </c>
      <c r="G81" s="75">
        <f>SUM(G62:G80)</f>
        <v>5740038.0699999994</v>
      </c>
      <c r="H81" s="75">
        <f>SUM(H77:H80)</f>
        <v>259938.04</v>
      </c>
      <c r="I81" s="75">
        <f>SUM(I77:I80)</f>
        <v>247468.2</v>
      </c>
      <c r="J81" s="75">
        <f>SUM(J77:J80)</f>
        <v>289363</v>
      </c>
      <c r="K81" s="75">
        <f>SUM(K77:K80)</f>
        <v>281328</v>
      </c>
      <c r="L81" s="75">
        <f>SUM(L77:L80)</f>
        <v>281328</v>
      </c>
      <c r="M81" s="2"/>
      <c r="O81" s="75"/>
      <c r="P81"/>
      <c r="Q81"/>
      <c r="R81"/>
      <c r="S81"/>
      <c r="T81"/>
      <c r="U81"/>
    </row>
    <row r="82" spans="1:21" x14ac:dyDescent="0.2">
      <c r="C82" s="75"/>
      <c r="D82" s="75"/>
      <c r="E82" s="75"/>
      <c r="F82" s="75"/>
      <c r="G82" s="75"/>
      <c r="H82" s="75"/>
      <c r="I82" s="75"/>
      <c r="J82" s="75"/>
      <c r="K82" s="75"/>
      <c r="L82" s="278"/>
      <c r="M82" s="2"/>
      <c r="O82" s="75"/>
      <c r="P82"/>
      <c r="Q82"/>
      <c r="R82"/>
      <c r="S82"/>
      <c r="T82"/>
      <c r="U82"/>
    </row>
    <row r="83" spans="1:21" x14ac:dyDescent="0.2">
      <c r="B83" t="s">
        <v>309</v>
      </c>
      <c r="C83" s="75"/>
      <c r="D83" s="75"/>
      <c r="E83" s="75"/>
      <c r="F83" s="75"/>
      <c r="G83" s="75"/>
      <c r="H83" s="75"/>
      <c r="I83" s="75"/>
      <c r="J83" s="75"/>
      <c r="K83" s="75"/>
      <c r="L83" s="278"/>
      <c r="M83" s="2"/>
      <c r="O83" s="75"/>
      <c r="P83"/>
      <c r="Q83"/>
      <c r="R83"/>
      <c r="S83"/>
      <c r="T83"/>
      <c r="U83"/>
    </row>
    <row r="84" spans="1:21" x14ac:dyDescent="0.2">
      <c r="A84" s="410">
        <v>610</v>
      </c>
      <c r="B84" t="s">
        <v>310</v>
      </c>
      <c r="C84" s="75">
        <f>+'610 Library'!C42</f>
        <v>303901</v>
      </c>
      <c r="D84" s="75">
        <f>+'610 Library'!D42</f>
        <v>325233</v>
      </c>
      <c r="E84" s="75">
        <f>+'610 Library'!E42</f>
        <v>337643</v>
      </c>
      <c r="F84" s="75">
        <f>+'610 Library'!F42</f>
        <v>351149.00000000006</v>
      </c>
      <c r="G84" s="75">
        <f>+'610 Library'!G42</f>
        <v>364970</v>
      </c>
      <c r="H84" s="75">
        <f>+'610 Library'!H42</f>
        <v>386328.00000000006</v>
      </c>
      <c r="I84" s="75">
        <f>+'610 Library'!I42</f>
        <v>401962</v>
      </c>
      <c r="J84" s="75">
        <f>+'610 Library'!J42</f>
        <v>411071</v>
      </c>
      <c r="K84" s="75">
        <f>ROUND((+'610 Library'!L42),0)</f>
        <v>426950</v>
      </c>
      <c r="L84" s="278">
        <f>+'610 Library'!M42</f>
        <v>426950</v>
      </c>
      <c r="O84" s="75"/>
      <c r="P84"/>
      <c r="Q84"/>
      <c r="R84"/>
      <c r="S84"/>
      <c r="T84"/>
      <c r="U84"/>
    </row>
    <row r="85" spans="1:21" x14ac:dyDescent="0.2">
      <c r="A85" s="410">
        <v>630</v>
      </c>
      <c r="B85" t="s">
        <v>312</v>
      </c>
      <c r="C85" s="75">
        <f>+'630 Recreation'!C27</f>
        <v>93539.86</v>
      </c>
      <c r="D85" s="75">
        <f>+'630 Recreation'!D27</f>
        <v>101235.73999999999</v>
      </c>
      <c r="E85" s="75">
        <f>+'630 Recreation'!E27</f>
        <v>104042.40999999999</v>
      </c>
      <c r="F85" s="75">
        <f>+'630 Recreation'!F27</f>
        <v>116111.64</v>
      </c>
      <c r="G85" s="75">
        <f>+'630 Recreation'!G27</f>
        <v>120911.25</v>
      </c>
      <c r="H85" s="75">
        <f>+'630 Recreation'!H27</f>
        <v>128193.00000000001</v>
      </c>
      <c r="I85" s="75">
        <f>+'630 Recreation'!I27</f>
        <v>130539.37</v>
      </c>
      <c r="J85" s="75">
        <f>+'630 Recreation'!J27</f>
        <v>139448</v>
      </c>
      <c r="K85" s="75">
        <f>ROUND((+'630 Recreation'!L27),0)</f>
        <v>143539</v>
      </c>
      <c r="L85" s="278">
        <f>+'630 Recreation'!M27</f>
        <v>143539</v>
      </c>
      <c r="O85" s="75"/>
      <c r="P85"/>
      <c r="Q85"/>
      <c r="R85"/>
      <c r="S85"/>
      <c r="T85"/>
      <c r="U85"/>
    </row>
    <row r="86" spans="1:21" x14ac:dyDescent="0.2">
      <c r="A86" s="410">
        <v>691</v>
      </c>
      <c r="B86" t="s">
        <v>346</v>
      </c>
      <c r="C86" s="75">
        <f>+'691 Historical Comm'!C15</f>
        <v>253.28</v>
      </c>
      <c r="D86" s="75">
        <f>+'691 Historical Comm'!D15</f>
        <v>0</v>
      </c>
      <c r="E86" s="75">
        <f>+'691 Historical Comm'!E15</f>
        <v>434.33</v>
      </c>
      <c r="F86" s="75">
        <f>+'691 Historical Comm'!F15</f>
        <v>0</v>
      </c>
      <c r="G86" s="75">
        <f>+'691 Historical Comm'!G15</f>
        <v>0</v>
      </c>
      <c r="H86" s="75">
        <f>+'691 Historical Comm'!H15</f>
        <v>253.19</v>
      </c>
      <c r="I86" s="75">
        <f>+'691 Historical Comm'!I15</f>
        <v>0</v>
      </c>
      <c r="J86" s="75">
        <f>+'691 Historical Comm'!J15</f>
        <v>500</v>
      </c>
      <c r="K86" s="75">
        <f>ROUND((+'691 Historical Comm'!L15),0)</f>
        <v>500</v>
      </c>
      <c r="L86" s="278">
        <f>+'691 Historical Comm'!M15</f>
        <v>500</v>
      </c>
      <c r="O86" s="75"/>
      <c r="P86"/>
      <c r="Q86"/>
      <c r="R86"/>
      <c r="S86"/>
      <c r="T86"/>
      <c r="U86"/>
    </row>
    <row r="87" spans="1:21" x14ac:dyDescent="0.2">
      <c r="A87" s="410">
        <v>693</v>
      </c>
      <c r="B87" t="s">
        <v>313</v>
      </c>
      <c r="C87" s="75">
        <f>+'693 Memorials'!C14</f>
        <v>1230.25</v>
      </c>
      <c r="D87" s="75">
        <f>+'693 Memorials'!D14</f>
        <v>819.41</v>
      </c>
      <c r="E87" s="75">
        <f>+'693 Memorials'!E14</f>
        <v>1049.43</v>
      </c>
      <c r="F87" s="75">
        <f>+'693 Memorials'!F14</f>
        <v>1189.6199999999999</v>
      </c>
      <c r="G87" s="75">
        <f>+'693 Memorials'!G14</f>
        <v>1188.96</v>
      </c>
      <c r="H87" s="75">
        <f>+'693 Memorials'!H14</f>
        <v>1200</v>
      </c>
      <c r="I87" s="75">
        <f>+'693 Memorials'!I14</f>
        <v>800.77</v>
      </c>
      <c r="J87" s="75">
        <f>+'693 Memorials'!J14</f>
        <v>1300</v>
      </c>
      <c r="K87" s="75">
        <f>ROUND((+'693 Memorials'!L14),0)</f>
        <v>1300</v>
      </c>
      <c r="L87" s="278">
        <f>+'693 Memorials'!M14</f>
        <v>1300</v>
      </c>
      <c r="O87" s="75"/>
      <c r="P87"/>
      <c r="Q87"/>
      <c r="R87"/>
      <c r="S87"/>
      <c r="T87"/>
      <c r="U87"/>
    </row>
    <row r="88" spans="1:21" x14ac:dyDescent="0.2">
      <c r="C88" s="75"/>
      <c r="D88" s="75"/>
      <c r="E88" s="75"/>
      <c r="F88" s="75"/>
      <c r="G88" s="75"/>
      <c r="H88" s="75"/>
      <c r="I88" s="75"/>
      <c r="J88" s="75"/>
      <c r="K88" s="75"/>
      <c r="L88" s="278"/>
      <c r="O88" s="75"/>
      <c r="P88"/>
      <c r="Q88"/>
      <c r="R88"/>
      <c r="S88"/>
      <c r="T88"/>
      <c r="U88"/>
    </row>
    <row r="89" spans="1:21" x14ac:dyDescent="0.2">
      <c r="B89" t="s">
        <v>315</v>
      </c>
      <c r="C89" s="75">
        <f t="shared" ref="C89:L89" si="8">SUM(C84:C88)</f>
        <v>398924.39</v>
      </c>
      <c r="D89" s="75">
        <f t="shared" si="8"/>
        <v>427288.14999999997</v>
      </c>
      <c r="E89" s="75">
        <f t="shared" si="8"/>
        <v>443169.17</v>
      </c>
      <c r="F89" s="75">
        <f t="shared" si="8"/>
        <v>468450.26000000007</v>
      </c>
      <c r="G89" s="75">
        <f t="shared" si="8"/>
        <v>487070.21</v>
      </c>
      <c r="H89" s="75">
        <f t="shared" si="8"/>
        <v>515974.19000000006</v>
      </c>
      <c r="I89" s="75">
        <f t="shared" si="8"/>
        <v>533302.14</v>
      </c>
      <c r="J89" s="75">
        <f t="shared" ref="J89" si="9">SUM(J84:J88)</f>
        <v>552319</v>
      </c>
      <c r="K89" s="75">
        <f t="shared" si="8"/>
        <v>572289</v>
      </c>
      <c r="L89" s="278">
        <f t="shared" si="8"/>
        <v>572289</v>
      </c>
      <c r="M89" s="2"/>
      <c r="O89" s="75"/>
      <c r="P89"/>
      <c r="Q89"/>
      <c r="R89"/>
      <c r="S89"/>
      <c r="T89"/>
      <c r="U89"/>
    </row>
    <row r="90" spans="1:21" x14ac:dyDescent="0.2">
      <c r="C90" s="75"/>
      <c r="D90" s="75"/>
      <c r="E90" s="75"/>
      <c r="F90" s="75"/>
      <c r="G90" s="75"/>
      <c r="H90" s="75"/>
      <c r="I90" s="75"/>
      <c r="J90" s="75"/>
      <c r="K90" s="75"/>
      <c r="L90" s="278"/>
      <c r="M90" s="2"/>
      <c r="O90" s="75"/>
      <c r="P90"/>
      <c r="Q90"/>
      <c r="R90"/>
      <c r="S90"/>
      <c r="T90"/>
      <c r="U90"/>
    </row>
    <row r="91" spans="1:21" x14ac:dyDescent="0.2">
      <c r="B91" t="s">
        <v>316</v>
      </c>
      <c r="C91" s="75"/>
      <c r="D91" s="75"/>
      <c r="E91" s="75"/>
      <c r="F91" s="75"/>
      <c r="G91" s="75"/>
      <c r="H91" s="75"/>
      <c r="I91" s="75"/>
      <c r="J91" s="75"/>
      <c r="K91" s="75"/>
      <c r="L91" s="278"/>
      <c r="M91" s="2"/>
      <c r="O91" s="75"/>
      <c r="P91"/>
      <c r="Q91"/>
      <c r="R91"/>
      <c r="S91"/>
      <c r="T91"/>
      <c r="U91"/>
    </row>
    <row r="92" spans="1:21" x14ac:dyDescent="0.2">
      <c r="A92" s="410">
        <v>700</v>
      </c>
      <c r="B92" t="s">
        <v>316</v>
      </c>
      <c r="C92" s="75">
        <f>+'700 Debt '!C60</f>
        <v>624059.19999999995</v>
      </c>
      <c r="D92" s="75">
        <f>+'700 Debt '!D60</f>
        <v>627106.03000000014</v>
      </c>
      <c r="E92" s="75">
        <f>+'700 Debt '!E60</f>
        <v>653275.82999999996</v>
      </c>
      <c r="F92" s="75">
        <f>+'700 Debt '!F60</f>
        <v>651031.29</v>
      </c>
      <c r="G92" s="75">
        <f>+'700 Debt '!G60</f>
        <v>655052.56000000006</v>
      </c>
      <c r="H92" s="75">
        <f>+'700 Debt '!H60</f>
        <v>630911.34</v>
      </c>
      <c r="I92" s="75">
        <f>+'700 Debt '!I60</f>
        <v>625348.28</v>
      </c>
      <c r="J92" s="75">
        <f>+'700 Debt '!J60</f>
        <v>888793</v>
      </c>
      <c r="K92" s="75">
        <f>ROUND((+'700 Debt '!L60),0)</f>
        <v>1128500</v>
      </c>
      <c r="L92" s="278">
        <f>+'700 Debt '!M60</f>
        <v>1128500</v>
      </c>
      <c r="O92" s="75"/>
      <c r="P92"/>
      <c r="Q92"/>
      <c r="R92"/>
      <c r="S92"/>
      <c r="T92"/>
      <c r="U92"/>
    </row>
    <row r="93" spans="1:21" x14ac:dyDescent="0.2">
      <c r="C93" s="75"/>
      <c r="D93" s="75"/>
      <c r="E93" s="75"/>
      <c r="F93" s="75"/>
      <c r="G93" s="75"/>
      <c r="H93" s="75"/>
      <c r="I93" s="75"/>
      <c r="J93" s="75"/>
      <c r="K93" s="75"/>
      <c r="L93" s="278"/>
      <c r="M93" s="2"/>
      <c r="O93" s="75"/>
      <c r="P93"/>
      <c r="Q93"/>
      <c r="R93"/>
      <c r="S93"/>
      <c r="T93"/>
      <c r="U93"/>
    </row>
    <row r="94" spans="1:21" x14ac:dyDescent="0.2">
      <c r="B94" t="s">
        <v>317</v>
      </c>
      <c r="C94" s="75"/>
      <c r="D94" s="75"/>
      <c r="E94" s="75"/>
      <c r="F94" s="75"/>
      <c r="G94" s="75"/>
      <c r="H94" s="75"/>
      <c r="I94" s="75"/>
      <c r="J94" s="75"/>
      <c r="K94" s="75"/>
      <c r="L94" s="278"/>
      <c r="M94" s="2"/>
      <c r="O94" s="75"/>
      <c r="P94"/>
      <c r="Q94"/>
      <c r="R94"/>
      <c r="S94"/>
      <c r="T94"/>
      <c r="U94"/>
    </row>
    <row r="95" spans="1:21" x14ac:dyDescent="0.2">
      <c r="A95" s="410">
        <v>840</v>
      </c>
      <c r="B95" t="s">
        <v>317</v>
      </c>
      <c r="C95" s="75">
        <f>+'840 Intergovt'!C15</f>
        <v>83074.820000000007</v>
      </c>
      <c r="D95" s="75">
        <f>+'840 Intergovt'!D15</f>
        <v>87874.209999999992</v>
      </c>
      <c r="E95" s="75">
        <f>+'840 Intergovt'!E15</f>
        <v>71938.12</v>
      </c>
      <c r="F95" s="75">
        <f>+'840 Intergovt'!F15</f>
        <v>94258.209999999992</v>
      </c>
      <c r="G95" s="75">
        <f>+'840 Intergovt'!G15</f>
        <v>92495.299999999988</v>
      </c>
      <c r="H95" s="75">
        <f>+'840 Intergovt'!H15</f>
        <v>99251.89</v>
      </c>
      <c r="I95" s="75">
        <f>+'840 Intergovt'!I15</f>
        <v>100824.36000000002</v>
      </c>
      <c r="J95" s="75">
        <f>+'840 Intergovt'!J15</f>
        <v>104608</v>
      </c>
      <c r="K95" s="75">
        <f>ROUND((+'840 Intergovt'!L15),0)</f>
        <v>111179</v>
      </c>
      <c r="L95" s="278">
        <f>+'840 Intergovt'!M15</f>
        <v>111179</v>
      </c>
      <c r="O95" s="75"/>
      <c r="P95"/>
      <c r="Q95"/>
      <c r="R95"/>
      <c r="S95"/>
      <c r="T95"/>
      <c r="U95"/>
    </row>
    <row r="96" spans="1:21" x14ac:dyDescent="0.2">
      <c r="C96" s="75"/>
      <c r="D96" s="75"/>
      <c r="E96" s="75"/>
      <c r="F96" s="75"/>
      <c r="G96" s="75"/>
      <c r="H96" s="75"/>
      <c r="I96" s="75"/>
      <c r="J96" s="75"/>
      <c r="K96" s="75"/>
      <c r="L96" s="278"/>
      <c r="M96" s="2"/>
      <c r="O96" s="75"/>
      <c r="P96"/>
      <c r="Q96"/>
      <c r="R96"/>
      <c r="S96"/>
      <c r="T96"/>
      <c r="U96"/>
    </row>
    <row r="97" spans="1:21" x14ac:dyDescent="0.2">
      <c r="B97" t="s">
        <v>319</v>
      </c>
      <c r="C97" s="75"/>
      <c r="D97" s="75"/>
      <c r="E97" s="75"/>
      <c r="F97" s="75"/>
      <c r="G97" s="75"/>
      <c r="H97" s="75"/>
      <c r="I97" s="75"/>
      <c r="J97" s="75"/>
      <c r="K97" s="75"/>
      <c r="L97" s="278"/>
      <c r="M97" s="2"/>
      <c r="O97" s="75"/>
      <c r="P97"/>
      <c r="Q97"/>
      <c r="R97"/>
      <c r="S97"/>
      <c r="T97"/>
      <c r="U97"/>
    </row>
    <row r="98" spans="1:21" x14ac:dyDescent="0.2">
      <c r="A98" s="410">
        <v>910</v>
      </c>
      <c r="B98" t="s">
        <v>320</v>
      </c>
      <c r="C98" s="75">
        <f>+'910 Benefits'!C20</f>
        <v>1760819.2100000002</v>
      </c>
      <c r="D98" s="75">
        <f>+'910 Benefits'!D20</f>
        <v>1730791.4</v>
      </c>
      <c r="E98" s="75">
        <f>+'910 Benefits'!E20</f>
        <v>1748594.09</v>
      </c>
      <c r="F98" s="75">
        <f>+'910 Benefits'!F20</f>
        <v>1789352.1499999997</v>
      </c>
      <c r="G98" s="75">
        <f>+'910 Benefits'!G20</f>
        <v>1878957.3699999999</v>
      </c>
      <c r="H98" s="75">
        <f>+'910 Benefits'!H20</f>
        <v>2008426.33</v>
      </c>
      <c r="I98" s="75">
        <f>+'910 Benefits'!I20</f>
        <v>2068987.7100000002</v>
      </c>
      <c r="J98" s="75">
        <f>+'910 Benefits'!J20</f>
        <v>2227951</v>
      </c>
      <c r="K98" s="75">
        <f>ROUND((+'910 Benefits'!L20),0)</f>
        <v>2298057</v>
      </c>
      <c r="L98" s="312">
        <f>+'910 Benefits'!M20</f>
        <v>2298057</v>
      </c>
      <c r="O98" s="75"/>
      <c r="P98"/>
      <c r="Q98"/>
      <c r="R98"/>
      <c r="S98"/>
      <c r="T98"/>
      <c r="U98"/>
    </row>
    <row r="99" spans="1:21" x14ac:dyDescent="0.2">
      <c r="A99" s="410">
        <v>946</v>
      </c>
      <c r="B99" t="s">
        <v>566</v>
      </c>
      <c r="C99" s="75">
        <f>+'946 Insurance'!C20</f>
        <v>63586.85</v>
      </c>
      <c r="D99" s="75">
        <f>+'946 Insurance'!D20</f>
        <v>81915.03</v>
      </c>
      <c r="E99" s="75">
        <f>+'946 Insurance'!E20</f>
        <v>90801.61</v>
      </c>
      <c r="F99" s="75">
        <f>+'946 Insurance'!F20</f>
        <v>84898.93</v>
      </c>
      <c r="G99" s="75">
        <f>+'946 Insurance'!G20</f>
        <v>87959.99</v>
      </c>
      <c r="H99" s="75">
        <f>+'946 Insurance'!H20</f>
        <v>95065.72</v>
      </c>
      <c r="I99" s="75">
        <f>+'946 Insurance'!I20</f>
        <v>85911.72</v>
      </c>
      <c r="J99" s="75">
        <f>+'946 Insurance'!J20</f>
        <v>93275</v>
      </c>
      <c r="K99" s="75">
        <f>ROUND((+'946 Insurance'!L20),0)</f>
        <v>96000</v>
      </c>
      <c r="L99" s="75">
        <f>+'946 Insurance'!M22</f>
        <v>96000</v>
      </c>
      <c r="O99" s="75"/>
      <c r="P99"/>
      <c r="Q99"/>
      <c r="R99"/>
      <c r="S99"/>
      <c r="T99"/>
      <c r="U99"/>
    </row>
    <row r="100" spans="1:21" x14ac:dyDescent="0.2">
      <c r="C100" s="75"/>
      <c r="D100" s="75"/>
      <c r="E100" s="75"/>
      <c r="F100" s="75"/>
      <c r="G100" s="75"/>
      <c r="H100" s="75"/>
      <c r="I100" s="75"/>
      <c r="J100" s="75"/>
      <c r="K100" s="75"/>
      <c r="L100" s="278"/>
      <c r="O100" s="75"/>
      <c r="U100"/>
    </row>
    <row r="101" spans="1:21" x14ac:dyDescent="0.2">
      <c r="B101" t="s">
        <v>323</v>
      </c>
      <c r="C101" s="75">
        <f t="shared" ref="C101:L101" si="10">SUM(C98:C100)</f>
        <v>1824406.0600000003</v>
      </c>
      <c r="D101" s="75">
        <f t="shared" si="10"/>
        <v>1812706.43</v>
      </c>
      <c r="E101" s="75">
        <f t="shared" si="10"/>
        <v>1839395.7000000002</v>
      </c>
      <c r="F101" s="75">
        <f t="shared" si="10"/>
        <v>1874251.0799999996</v>
      </c>
      <c r="G101" s="75">
        <f t="shared" si="10"/>
        <v>1966917.3599999999</v>
      </c>
      <c r="H101" s="75">
        <f t="shared" si="10"/>
        <v>2103492.0500000003</v>
      </c>
      <c r="I101" s="75">
        <f t="shared" si="10"/>
        <v>2154899.4300000002</v>
      </c>
      <c r="J101" s="75">
        <f t="shared" ref="J101" si="11">SUM(J98:J100)</f>
        <v>2321226</v>
      </c>
      <c r="K101" s="75">
        <f t="shared" si="10"/>
        <v>2394057</v>
      </c>
      <c r="L101" s="278">
        <f t="shared" si="10"/>
        <v>2394057</v>
      </c>
      <c r="M101" s="2"/>
      <c r="O101" s="75"/>
      <c r="U101"/>
    </row>
    <row r="102" spans="1:21" x14ac:dyDescent="0.2">
      <c r="C102" s="75"/>
      <c r="D102" s="75"/>
      <c r="E102" s="75"/>
      <c r="F102" s="75"/>
      <c r="G102" s="75"/>
      <c r="H102" s="75"/>
      <c r="I102" s="75"/>
      <c r="J102" s="75"/>
      <c r="K102" s="75"/>
      <c r="L102" s="278"/>
      <c r="N102" s="3"/>
      <c r="O102" s="151"/>
      <c r="P102" s="3"/>
      <c r="Q102" s="3"/>
      <c r="U102"/>
    </row>
    <row r="103" spans="1:21" x14ac:dyDescent="0.2">
      <c r="A103" s="2"/>
      <c r="B103" t="s">
        <v>95</v>
      </c>
      <c r="C103" s="75">
        <f t="shared" ref="C103:L103" si="12">+C101+C95+C92+C89+C81+C73+C63+C49</f>
        <v>12084463.180000002</v>
      </c>
      <c r="D103" s="75">
        <f t="shared" si="12"/>
        <v>12777510.58</v>
      </c>
      <c r="E103" s="75">
        <f t="shared" si="12"/>
        <v>13383528.830000002</v>
      </c>
      <c r="F103" s="75">
        <f t="shared" si="12"/>
        <v>13349472.070000002</v>
      </c>
      <c r="G103" s="75">
        <f t="shared" si="12"/>
        <v>13837192.480000002</v>
      </c>
      <c r="H103" s="75">
        <f t="shared" si="12"/>
        <v>8513643.1699999999</v>
      </c>
      <c r="I103" s="75">
        <f t="shared" si="12"/>
        <v>8909959.6699999999</v>
      </c>
      <c r="J103" s="75">
        <f t="shared" si="12"/>
        <v>9932943</v>
      </c>
      <c r="K103" s="75">
        <f>ROUND((+K101+K95+K92+K89+K81+K73+K63+K49),)</f>
        <v>10527445</v>
      </c>
      <c r="L103" s="75">
        <f t="shared" si="12"/>
        <v>10527445.210000001</v>
      </c>
      <c r="M103" s="75">
        <f>+L103-N103-O103</f>
        <v>10527398.210000001</v>
      </c>
      <c r="O103" s="75">
        <v>47</v>
      </c>
      <c r="Q103" s="2">
        <f>SUM(Q31:Q102)</f>
        <v>0</v>
      </c>
      <c r="R103" s="2">
        <f>SUM(R31:R102)</f>
        <v>0</v>
      </c>
      <c r="S103" s="2">
        <f>SUM(S31:S102)</f>
        <v>0</v>
      </c>
      <c r="T103" s="2">
        <f>SUM(T31:T102)</f>
        <v>0</v>
      </c>
      <c r="U103"/>
    </row>
    <row r="104" spans="1:21" x14ac:dyDescent="0.2">
      <c r="B104" s="2"/>
      <c r="C104" s="75"/>
      <c r="D104" s="75"/>
      <c r="E104" s="75"/>
      <c r="F104" s="75"/>
      <c r="G104" s="75"/>
      <c r="H104" s="75"/>
      <c r="I104" s="75"/>
      <c r="J104" s="75"/>
      <c r="K104" s="75"/>
      <c r="L104" s="278"/>
      <c r="M104" s="2"/>
      <c r="N104" s="75"/>
      <c r="O104" s="75"/>
      <c r="U104"/>
    </row>
    <row r="105" spans="1:21" x14ac:dyDescent="0.2">
      <c r="B105" t="s">
        <v>325</v>
      </c>
      <c r="C105" s="75"/>
      <c r="D105" s="75"/>
      <c r="E105" s="75"/>
      <c r="F105" s="75"/>
      <c r="G105" s="75"/>
      <c r="H105" s="75"/>
      <c r="I105" s="75"/>
      <c r="J105" s="75"/>
      <c r="K105" s="75"/>
      <c r="L105" s="278"/>
      <c r="M105" s="2"/>
      <c r="O105" s="75"/>
      <c r="U105"/>
    </row>
    <row r="106" spans="1:21" x14ac:dyDescent="0.2">
      <c r="A106" s="410">
        <v>440</v>
      </c>
      <c r="B106" t="s">
        <v>567</v>
      </c>
      <c r="C106" s="75">
        <f>+'661 440 WPCF'!C43</f>
        <v>1232852.1600000001</v>
      </c>
      <c r="D106" s="75">
        <f>+'661 440 WPCF'!D43</f>
        <v>1332110.6000000001</v>
      </c>
      <c r="E106" s="75">
        <f>+'661 440 WPCF'!E43</f>
        <v>1415714.64</v>
      </c>
      <c r="F106" s="75">
        <f>+'661 440 WPCF'!F43</f>
        <v>1411128.35</v>
      </c>
      <c r="G106" s="75">
        <f>+'661 440 WPCF'!G43</f>
        <v>1411401.52</v>
      </c>
      <c r="H106" s="75">
        <f>+'661 440 WPCF'!H43</f>
        <v>1459773.7000000002</v>
      </c>
      <c r="I106" s="75">
        <f>+'661 440 WPCF'!I43</f>
        <v>1523345.5699999998</v>
      </c>
      <c r="J106" s="75">
        <f>+'661 440 WPCF'!J43</f>
        <v>1441754</v>
      </c>
      <c r="K106" s="75">
        <f>ROUND((+'661 440 WPCF'!L43),0)</f>
        <v>1585763</v>
      </c>
      <c r="L106" s="278">
        <f>+'661 440 WPCF'!M43</f>
        <v>1585763</v>
      </c>
      <c r="O106" s="75"/>
      <c r="U106"/>
    </row>
    <row r="107" spans="1:21" x14ac:dyDescent="0.2">
      <c r="A107" s="410">
        <v>449</v>
      </c>
      <c r="B107" t="s">
        <v>419</v>
      </c>
      <c r="C107" s="75">
        <f>+'661 449 Hwy'!C27</f>
        <v>24510.879999999997</v>
      </c>
      <c r="D107" s="75">
        <f>+'661 449 Hwy'!D27</f>
        <v>17339.32</v>
      </c>
      <c r="E107" s="75">
        <f>+'661 449 Hwy'!E27</f>
        <v>41678.6</v>
      </c>
      <c r="F107" s="75">
        <f>+'661 449 Hwy'!F27</f>
        <v>53420.14</v>
      </c>
      <c r="G107" s="75">
        <f>+'661 449 Hwy'!G27</f>
        <v>19605.989999999998</v>
      </c>
      <c r="H107" s="75">
        <f>+'661 449 Hwy'!H27</f>
        <v>19157.71</v>
      </c>
      <c r="I107" s="75">
        <f>+'661 449 Hwy'!I27</f>
        <v>26987.78</v>
      </c>
      <c r="J107" s="75">
        <f>+'661 449 Hwy'!J27</f>
        <v>50800</v>
      </c>
      <c r="K107" s="75">
        <f>ROUND((+'661 449 Hwy'!L27),0)</f>
        <v>50800</v>
      </c>
      <c r="L107" s="278">
        <f>+'661 449 Hwy'!M27</f>
        <v>50800</v>
      </c>
      <c r="O107" s="75"/>
      <c r="U107"/>
    </row>
    <row r="108" spans="1:21" x14ac:dyDescent="0.2">
      <c r="A108" s="410">
        <v>700</v>
      </c>
      <c r="B108" t="s">
        <v>351</v>
      </c>
      <c r="C108" s="75">
        <f>+'661 700 Debt'!C61</f>
        <v>339561.32000000007</v>
      </c>
      <c r="D108" s="75">
        <f>+'661 700 Debt'!D61</f>
        <v>333169.57</v>
      </c>
      <c r="E108" s="75">
        <f>+'661 700 Debt'!E61</f>
        <v>430365.07</v>
      </c>
      <c r="F108" s="75">
        <f>+'661 700 Debt'!F61</f>
        <v>426045.84</v>
      </c>
      <c r="G108" s="75">
        <f>+'661 700 Debt'!G61</f>
        <v>432071.62</v>
      </c>
      <c r="H108" s="75">
        <f>+'661 700 Debt'!H61</f>
        <v>363646.25</v>
      </c>
      <c r="I108" s="75">
        <f>+'661 700 Debt'!I61</f>
        <v>363127.97</v>
      </c>
      <c r="J108" s="75">
        <f>+'661 700 Debt'!J61</f>
        <v>533163</v>
      </c>
      <c r="K108" s="75">
        <f>ROUND((+'661 700 Debt'!L61),0)</f>
        <v>520551</v>
      </c>
      <c r="L108" s="278">
        <f>+K108</f>
        <v>520551</v>
      </c>
      <c r="O108" s="75"/>
      <c r="U108"/>
    </row>
    <row r="109" spans="1:21" x14ac:dyDescent="0.2">
      <c r="A109" s="410">
        <v>910</v>
      </c>
      <c r="B109" t="s">
        <v>524</v>
      </c>
      <c r="C109" s="75">
        <f>+'661 910 Benefits'!C18</f>
        <v>162428.75000000003</v>
      </c>
      <c r="D109" s="75">
        <f>+'661 910 Benefits'!D18</f>
        <v>160893.16</v>
      </c>
      <c r="E109" s="75">
        <f>+'661 910 Benefits'!E18</f>
        <v>181400.05999999997</v>
      </c>
      <c r="F109" s="75">
        <f>+'661 910 Benefits'!F18</f>
        <v>194173.2</v>
      </c>
      <c r="G109" s="75">
        <f>+'661 910 Benefits'!G18</f>
        <v>221112.49</v>
      </c>
      <c r="H109" s="75">
        <f>+'661 910 Benefits'!H18</f>
        <v>224380.71000000002</v>
      </c>
      <c r="I109" s="75">
        <f>+'661 910 Benefits'!I18</f>
        <v>234658.48</v>
      </c>
      <c r="J109" s="75">
        <f>+'661 910 Benefits'!J18</f>
        <v>279702</v>
      </c>
      <c r="K109" s="75">
        <f>ROUND((+'661 910 Benefits'!L18),)</f>
        <v>291954</v>
      </c>
      <c r="L109" s="278">
        <f>+K109</f>
        <v>291954</v>
      </c>
      <c r="O109" s="75"/>
      <c r="U109"/>
    </row>
    <row r="110" spans="1:21" x14ac:dyDescent="0.2">
      <c r="C110" s="75"/>
      <c r="D110" s="75"/>
      <c r="E110" s="75"/>
      <c r="F110" s="75"/>
      <c r="G110" s="75"/>
      <c r="H110" s="75"/>
      <c r="I110" s="75"/>
      <c r="J110" s="75"/>
      <c r="K110" s="75"/>
      <c r="L110" s="278"/>
      <c r="N110" s="3"/>
      <c r="O110" s="151"/>
      <c r="P110" s="3"/>
      <c r="Q110" s="3"/>
      <c r="U110"/>
    </row>
    <row r="111" spans="1:21" x14ac:dyDescent="0.2">
      <c r="B111" t="s">
        <v>327</v>
      </c>
      <c r="C111" s="75">
        <f t="shared" ref="C111:L111" si="13">SUM(C106:C110)</f>
        <v>1759353.11</v>
      </c>
      <c r="D111" s="75">
        <f t="shared" si="13"/>
        <v>1843512.6500000001</v>
      </c>
      <c r="E111" s="75">
        <f t="shared" si="13"/>
        <v>2069158.37</v>
      </c>
      <c r="F111" s="75">
        <f t="shared" si="13"/>
        <v>2084767.53</v>
      </c>
      <c r="G111" s="75">
        <f t="shared" si="13"/>
        <v>2084191.6199999999</v>
      </c>
      <c r="H111" s="75">
        <f t="shared" si="13"/>
        <v>2066958.37</v>
      </c>
      <c r="I111" s="75">
        <f t="shared" si="13"/>
        <v>2148119.7999999998</v>
      </c>
      <c r="J111" s="75">
        <f t="shared" ref="J111" si="14">SUM(J106:J110)</f>
        <v>2305419</v>
      </c>
      <c r="K111" s="75">
        <f t="shared" si="13"/>
        <v>2449068</v>
      </c>
      <c r="L111" s="278">
        <f t="shared" si="13"/>
        <v>2449068</v>
      </c>
      <c r="M111" s="2">
        <v>220559</v>
      </c>
      <c r="O111" s="75"/>
      <c r="S111" s="2">
        <f>+K111-M111</f>
        <v>2228509</v>
      </c>
      <c r="U111"/>
    </row>
    <row r="112" spans="1:21" x14ac:dyDescent="0.2">
      <c r="C112" s="75"/>
      <c r="D112" s="75"/>
      <c r="E112" s="75"/>
      <c r="F112" s="75"/>
      <c r="G112" s="75"/>
      <c r="H112" s="75"/>
      <c r="I112" s="75"/>
      <c r="J112" s="75"/>
      <c r="K112" s="75"/>
      <c r="L112" s="278"/>
      <c r="M112" s="2"/>
      <c r="O112" s="75"/>
      <c r="U112"/>
    </row>
    <row r="113" spans="1:21" x14ac:dyDescent="0.2">
      <c r="C113" s="75"/>
      <c r="D113" s="75"/>
      <c r="E113" s="75"/>
      <c r="F113" s="75"/>
      <c r="G113" s="75"/>
      <c r="H113" s="75"/>
      <c r="I113" s="75"/>
      <c r="J113" s="75"/>
      <c r="K113" s="75"/>
      <c r="L113" s="278"/>
      <c r="M113" s="2"/>
      <c r="O113" s="75"/>
      <c r="U113"/>
    </row>
    <row r="114" spans="1:21" x14ac:dyDescent="0.2">
      <c r="A114" s="410">
        <v>482</v>
      </c>
      <c r="B114" t="s">
        <v>361</v>
      </c>
      <c r="C114" s="75">
        <f>+'600 482 Airport'!C37</f>
        <v>36905.490000000005</v>
      </c>
      <c r="D114" s="75">
        <f>+'600 482 Airport'!D37</f>
        <v>44653.43</v>
      </c>
      <c r="E114" s="75">
        <f>+'600 482 Airport'!E37</f>
        <v>45769.880000000005</v>
      </c>
      <c r="F114" s="75">
        <f>+'600 482 Airport'!F37</f>
        <v>44520.340000000011</v>
      </c>
      <c r="G114" s="75">
        <f>+'600 482 Airport'!G37</f>
        <v>51918.03</v>
      </c>
      <c r="H114" s="75">
        <f>+'600 482 Airport'!H37</f>
        <v>48770.28</v>
      </c>
      <c r="I114" s="75">
        <f>+'600 482 Airport'!I37</f>
        <v>48391.540000000008</v>
      </c>
      <c r="J114" s="75">
        <f>+'600 482 Airport'!J37</f>
        <v>53290</v>
      </c>
      <c r="K114" s="75">
        <f>ROUND((+'600 482 Airport'!L37),0)</f>
        <v>55694</v>
      </c>
      <c r="L114" s="278">
        <f>+K114</f>
        <v>55694</v>
      </c>
      <c r="M114" s="75">
        <f>ROUND((+'600 482 Airport'!A50),0)</f>
        <v>1405</v>
      </c>
      <c r="O114" s="75"/>
      <c r="T114" s="2">
        <f>+L114-M114</f>
        <v>54289</v>
      </c>
      <c r="U114"/>
    </row>
    <row r="115" spans="1:21" x14ac:dyDescent="0.2">
      <c r="C115" s="75"/>
      <c r="D115" s="75"/>
      <c r="E115" s="75"/>
      <c r="F115" s="75"/>
      <c r="G115" s="75"/>
      <c r="H115" s="75"/>
      <c r="I115" s="75"/>
      <c r="J115" s="75"/>
      <c r="K115" s="75"/>
      <c r="M115" s="2"/>
      <c r="O115" s="75"/>
      <c r="U115"/>
    </row>
    <row r="116" spans="1:21" x14ac:dyDescent="0.2">
      <c r="A116" s="475">
        <v>300</v>
      </c>
      <c r="B116" t="s">
        <v>328</v>
      </c>
      <c r="C116" s="75"/>
      <c r="D116" s="75"/>
      <c r="E116" s="75"/>
      <c r="F116" s="75"/>
      <c r="G116" s="75"/>
      <c r="H116" s="75"/>
      <c r="I116" s="75"/>
      <c r="J116" s="75"/>
      <c r="K116" s="75"/>
      <c r="M116" s="2"/>
      <c r="O116" s="75"/>
      <c r="U116"/>
    </row>
    <row r="117" spans="1:21" x14ac:dyDescent="0.2">
      <c r="B117" t="s">
        <v>329</v>
      </c>
      <c r="C117" s="75">
        <f>+'300 Schools'!C11</f>
        <v>737865</v>
      </c>
      <c r="D117" s="75">
        <f>+'300 Schools'!D11</f>
        <v>731659</v>
      </c>
      <c r="E117" s="75">
        <f>+'300 Schools'!E11</f>
        <v>682601</v>
      </c>
      <c r="F117" s="75">
        <f>+'300 Schools'!F11</f>
        <v>760615</v>
      </c>
      <c r="G117" s="75">
        <f>+'300 Schools'!G11</f>
        <v>659356</v>
      </c>
      <c r="H117" s="75">
        <f>+'300 Schools'!H11</f>
        <v>747340</v>
      </c>
      <c r="I117" s="75">
        <f>+'300 Schools'!I11</f>
        <v>974337.89</v>
      </c>
      <c r="J117" s="75">
        <f>+'300 Schools'!J11</f>
        <v>1085007</v>
      </c>
      <c r="K117" s="75">
        <f>ROUND((+'300 Schools'!L11),0)</f>
        <v>1255456</v>
      </c>
      <c r="L117" s="375">
        <f>+K117</f>
        <v>1255456</v>
      </c>
      <c r="M117" s="2">
        <f>+K117-O117</f>
        <v>1255456</v>
      </c>
      <c r="O117" s="75">
        <f>+O17</f>
        <v>0</v>
      </c>
      <c r="U117"/>
    </row>
    <row r="118" spans="1:21" x14ac:dyDescent="0.2">
      <c r="B118" t="s">
        <v>330</v>
      </c>
      <c r="C118" s="75">
        <f>+'300 Schools'!C14</f>
        <v>7850604</v>
      </c>
      <c r="D118" s="75">
        <f>+'300 Schools'!D14</f>
        <v>7965557</v>
      </c>
      <c r="E118" s="75">
        <f>+'300 Schools'!E14</f>
        <v>8293458</v>
      </c>
      <c r="F118" s="75">
        <f>+'300 Schools'!F14</f>
        <v>8498343</v>
      </c>
      <c r="G118" s="75">
        <f>+'300 Schools'!G14</f>
        <v>8852114</v>
      </c>
      <c r="H118" s="75">
        <f>+'300 Schools'!H14</f>
        <v>9356560</v>
      </c>
      <c r="I118" s="75">
        <f>+'300 Schools'!I14</f>
        <v>9811160</v>
      </c>
      <c r="J118" s="75">
        <f>+'300 Schools'!J14</f>
        <v>10229737</v>
      </c>
      <c r="K118" s="75">
        <f>ROUND((+'300 Schools'!L14),0)</f>
        <v>10732268</v>
      </c>
      <c r="L118" s="75">
        <f>+K118</f>
        <v>10732268</v>
      </c>
      <c r="M118" s="75">
        <f>+L118-N118</f>
        <v>10732268</v>
      </c>
      <c r="O118" s="75"/>
      <c r="P118" s="2">
        <f>+'Revenue Projections Detail'!D65</f>
        <v>0</v>
      </c>
      <c r="U118"/>
    </row>
    <row r="119" spans="1:21" x14ac:dyDescent="0.2">
      <c r="B119" t="s">
        <v>185</v>
      </c>
      <c r="C119" s="75">
        <f t="shared" ref="C119:M119" si="15">SUM(C117:C118)</f>
        <v>8588469</v>
      </c>
      <c r="D119" s="75">
        <f t="shared" si="15"/>
        <v>8697216</v>
      </c>
      <c r="E119" s="75">
        <f t="shared" si="15"/>
        <v>8976059</v>
      </c>
      <c r="F119" s="75">
        <f t="shared" si="15"/>
        <v>9258958</v>
      </c>
      <c r="G119" s="75">
        <f t="shared" si="15"/>
        <v>9511470</v>
      </c>
      <c r="H119" s="75">
        <f t="shared" si="15"/>
        <v>10103900</v>
      </c>
      <c r="I119" s="75">
        <f t="shared" si="15"/>
        <v>10785497.890000001</v>
      </c>
      <c r="J119" s="75">
        <f t="shared" ref="J119" si="16">SUM(J117:J118)</f>
        <v>11314744</v>
      </c>
      <c r="K119" s="75">
        <f t="shared" si="15"/>
        <v>11987724</v>
      </c>
      <c r="L119" s="232">
        <f t="shared" si="15"/>
        <v>11987724</v>
      </c>
      <c r="M119" s="75">
        <f t="shared" si="15"/>
        <v>11987724</v>
      </c>
      <c r="N119" s="2">
        <f>+N118</f>
        <v>0</v>
      </c>
      <c r="O119" s="2">
        <f t="shared" ref="O119:T119" si="17">SUM(O117:O118)</f>
        <v>0</v>
      </c>
      <c r="P119" s="2">
        <f t="shared" si="17"/>
        <v>0</v>
      </c>
      <c r="Q119" s="2">
        <f t="shared" si="17"/>
        <v>0</v>
      </c>
      <c r="R119" s="2">
        <f t="shared" si="17"/>
        <v>0</v>
      </c>
      <c r="S119" s="2">
        <f t="shared" si="17"/>
        <v>0</v>
      </c>
      <c r="T119" s="2">
        <f t="shared" si="17"/>
        <v>0</v>
      </c>
      <c r="U119"/>
    </row>
    <row r="120" spans="1:21" x14ac:dyDescent="0.2">
      <c r="B120" s="2"/>
      <c r="C120" s="75"/>
      <c r="D120" s="75"/>
      <c r="E120" s="75"/>
      <c r="F120" s="75"/>
      <c r="G120" s="75"/>
      <c r="H120" s="75"/>
      <c r="I120" s="75"/>
      <c r="J120" s="75"/>
      <c r="K120" s="75"/>
      <c r="M120" s="2"/>
      <c r="U120"/>
    </row>
    <row r="121" spans="1:21" x14ac:dyDescent="0.2">
      <c r="B121" t="s">
        <v>394</v>
      </c>
      <c r="C121" s="75"/>
      <c r="D121" s="75"/>
      <c r="E121" s="75"/>
      <c r="F121" s="75"/>
      <c r="G121" s="75"/>
      <c r="H121" s="75"/>
      <c r="I121" s="75"/>
      <c r="J121" s="75"/>
      <c r="K121" s="75"/>
      <c r="M121" s="2">
        <f>+K121</f>
        <v>0</v>
      </c>
      <c r="U121"/>
    </row>
    <row r="122" spans="1:21" x14ac:dyDescent="0.2">
      <c r="C122" s="75"/>
      <c r="D122" s="75"/>
      <c r="E122" s="75"/>
      <c r="F122" s="75"/>
      <c r="G122" s="75"/>
      <c r="H122" s="75"/>
      <c r="I122" s="75"/>
      <c r="J122" s="75"/>
      <c r="K122" s="75"/>
      <c r="M122" s="2"/>
      <c r="N122" s="3"/>
      <c r="O122" s="151"/>
      <c r="P122" s="3"/>
      <c r="Q122" s="3"/>
      <c r="U122"/>
    </row>
    <row r="123" spans="1:21" x14ac:dyDescent="0.2">
      <c r="B123" t="s">
        <v>324</v>
      </c>
      <c r="C123" s="75">
        <f t="shared" ref="C123:N123" si="18">+C119+C111+C103+C114+C121</f>
        <v>22469190.779999997</v>
      </c>
      <c r="D123" s="75">
        <f t="shared" si="18"/>
        <v>23362892.66</v>
      </c>
      <c r="E123" s="75">
        <f t="shared" si="18"/>
        <v>24474516.080000002</v>
      </c>
      <c r="F123" s="75">
        <f t="shared" si="18"/>
        <v>24737717.940000001</v>
      </c>
      <c r="G123" s="75">
        <f t="shared" si="18"/>
        <v>25484772.130000003</v>
      </c>
      <c r="H123" s="75">
        <f t="shared" si="18"/>
        <v>20733271.82</v>
      </c>
      <c r="I123" s="75">
        <f t="shared" si="18"/>
        <v>21891968.899999999</v>
      </c>
      <c r="J123" s="75">
        <f t="shared" ref="J123" si="19">+J119+J111+J103+J114+J121</f>
        <v>23606396</v>
      </c>
      <c r="K123" s="75">
        <f>+K119+K111+K103+K114+K121</f>
        <v>25019931</v>
      </c>
      <c r="L123" s="75">
        <f>ROUND((+L119+L111+L103+L114+L121),0)</f>
        <v>25019931</v>
      </c>
      <c r="M123" s="2">
        <f t="shared" si="18"/>
        <v>22737086.210000001</v>
      </c>
      <c r="N123" s="75">
        <f t="shared" si="18"/>
        <v>0</v>
      </c>
      <c r="O123" s="2">
        <f t="shared" ref="O123:T123" si="20">+O119+O111+O103+O114</f>
        <v>47</v>
      </c>
      <c r="P123" s="2">
        <f t="shared" si="20"/>
        <v>0</v>
      </c>
      <c r="Q123" s="2">
        <f t="shared" si="20"/>
        <v>0</v>
      </c>
      <c r="R123" s="2">
        <f t="shared" si="20"/>
        <v>0</v>
      </c>
      <c r="S123" s="2">
        <f t="shared" si="20"/>
        <v>2228509</v>
      </c>
      <c r="T123" s="2">
        <f t="shared" si="20"/>
        <v>54289</v>
      </c>
      <c r="U123"/>
    </row>
    <row r="124" spans="1:21" x14ac:dyDescent="0.2">
      <c r="J124" s="75"/>
      <c r="K124" s="75"/>
      <c r="M124" s="2"/>
      <c r="U124"/>
    </row>
    <row r="125" spans="1:21" x14ac:dyDescent="0.2">
      <c r="J125" s="75"/>
      <c r="K125" s="75"/>
      <c r="M125" s="2"/>
      <c r="O125" s="75"/>
      <c r="U125"/>
    </row>
    <row r="126" spans="1:21" x14ac:dyDescent="0.2">
      <c r="B126" t="s">
        <v>944</v>
      </c>
      <c r="I126" s="379" t="s">
        <v>898</v>
      </c>
      <c r="J126" s="397" t="s">
        <v>899</v>
      </c>
      <c r="K126" s="397" t="s">
        <v>900</v>
      </c>
      <c r="L126" s="397" t="s">
        <v>900</v>
      </c>
      <c r="M126" s="397"/>
      <c r="N126" s="3"/>
      <c r="O126" s="151"/>
      <c r="P126" s="3"/>
      <c r="Q126" s="3"/>
      <c r="R126" s="3"/>
      <c r="S126" s="3"/>
      <c r="T126" s="3"/>
      <c r="U126"/>
    </row>
    <row r="127" spans="1:21" x14ac:dyDescent="0.2">
      <c r="B127" s="254"/>
      <c r="C127" s="254"/>
      <c r="D127" s="254"/>
      <c r="E127" s="254"/>
      <c r="F127" s="254"/>
      <c r="G127" s="254"/>
      <c r="H127" s="254"/>
      <c r="I127" s="254"/>
      <c r="J127" s="416"/>
      <c r="K127" s="416"/>
      <c r="M127" s="2"/>
      <c r="N127" s="3"/>
      <c r="O127" s="151"/>
      <c r="P127" s="3"/>
      <c r="Q127" s="3"/>
      <c r="R127" s="3"/>
      <c r="S127" s="3"/>
      <c r="T127" s="3"/>
      <c r="U127"/>
    </row>
    <row r="128" spans="1:21" x14ac:dyDescent="0.2">
      <c r="A128" s="367"/>
      <c r="B128" s="254" t="s">
        <v>967</v>
      </c>
      <c r="C128" s="254"/>
      <c r="D128" s="254"/>
      <c r="E128" s="254"/>
      <c r="F128" s="254"/>
      <c r="G128" s="254"/>
      <c r="H128" s="254"/>
      <c r="I128" s="254"/>
      <c r="J128" s="416"/>
      <c r="K128" s="416"/>
      <c r="L128" s="375"/>
      <c r="M128" s="381"/>
      <c r="N128" s="3"/>
      <c r="O128" s="151"/>
      <c r="P128" s="3"/>
      <c r="Q128" s="3"/>
      <c r="R128" s="3"/>
      <c r="S128" s="3"/>
      <c r="T128" s="3"/>
      <c r="U128"/>
    </row>
    <row r="129" spans="1:21" x14ac:dyDescent="0.2">
      <c r="B129" s="254"/>
      <c r="C129" s="254"/>
      <c r="D129" s="254"/>
      <c r="E129" s="254"/>
      <c r="F129" s="254"/>
      <c r="G129" s="254"/>
      <c r="H129" s="254"/>
      <c r="I129" s="254"/>
      <c r="J129" s="416"/>
      <c r="K129" s="416"/>
      <c r="L129" s="438"/>
      <c r="M129" s="124"/>
      <c r="N129" s="3"/>
      <c r="O129" s="151"/>
      <c r="P129" s="3"/>
      <c r="Q129" s="3"/>
      <c r="R129" s="3"/>
      <c r="S129" s="3"/>
      <c r="T129" s="3"/>
      <c r="U129"/>
    </row>
    <row r="130" spans="1:21" x14ac:dyDescent="0.2">
      <c r="B130" s="66" t="s">
        <v>945</v>
      </c>
      <c r="C130" s="66"/>
      <c r="D130" s="66"/>
      <c r="E130" s="66"/>
      <c r="F130" s="66"/>
      <c r="G130" s="66"/>
      <c r="H130" s="66"/>
      <c r="I130" s="66"/>
      <c r="J130" s="75"/>
      <c r="K130" s="75"/>
      <c r="L130" s="438"/>
      <c r="M130" s="124"/>
      <c r="N130" s="3"/>
      <c r="O130" s="151"/>
      <c r="P130" s="3"/>
      <c r="Q130" s="3"/>
      <c r="R130" s="3"/>
      <c r="S130" s="3"/>
      <c r="T130" s="3"/>
      <c r="U130"/>
    </row>
    <row r="131" spans="1:21" x14ac:dyDescent="0.2">
      <c r="B131" t="s">
        <v>1011</v>
      </c>
      <c r="I131" s="2">
        <v>50000</v>
      </c>
      <c r="J131" s="375">
        <v>50000</v>
      </c>
      <c r="K131" s="375">
        <v>50000</v>
      </c>
      <c r="L131" s="312">
        <f t="shared" ref="L131:L137" si="21">+K131</f>
        <v>50000</v>
      </c>
      <c r="M131" s="409">
        <f>+K131</f>
        <v>50000</v>
      </c>
      <c r="N131" s="736"/>
      <c r="O131" s="151"/>
      <c r="P131" s="3"/>
      <c r="Q131" s="3"/>
      <c r="R131" s="3"/>
      <c r="S131" s="3"/>
      <c r="T131" s="3"/>
      <c r="U131"/>
    </row>
    <row r="132" spans="1:21" x14ac:dyDescent="0.2">
      <c r="B132" t="s">
        <v>1659</v>
      </c>
      <c r="I132" s="2"/>
      <c r="J132" s="375"/>
      <c r="K132" s="375">
        <v>68000</v>
      </c>
      <c r="L132" s="312">
        <f>+K132</f>
        <v>68000</v>
      </c>
      <c r="M132" s="409"/>
      <c r="N132" s="736">
        <f>+K132</f>
        <v>68000</v>
      </c>
      <c r="O132" s="151"/>
      <c r="P132" s="3"/>
      <c r="Q132" s="3"/>
      <c r="R132" s="3"/>
      <c r="S132" s="3"/>
      <c r="T132" s="3"/>
      <c r="U132"/>
    </row>
    <row r="133" spans="1:21" x14ac:dyDescent="0.2">
      <c r="B133" t="s">
        <v>803</v>
      </c>
      <c r="C133" s="410"/>
      <c r="D133" s="410"/>
      <c r="E133" s="410"/>
      <c r="F133" s="410"/>
      <c r="G133" s="410"/>
      <c r="H133" s="410"/>
      <c r="I133" s="735">
        <v>36144</v>
      </c>
      <c r="J133" s="375">
        <v>39237</v>
      </c>
      <c r="K133" s="375">
        <f>+'Financial Policy Numbers'!C59+801</f>
        <v>41805</v>
      </c>
      <c r="L133" s="312">
        <f>+K133</f>
        <v>41805</v>
      </c>
      <c r="M133" s="278">
        <f>+L133</f>
        <v>41805</v>
      </c>
      <c r="N133" s="736"/>
      <c r="O133" s="151"/>
      <c r="P133" s="3"/>
      <c r="Q133" s="3"/>
      <c r="R133" s="3"/>
      <c r="S133" s="3"/>
      <c r="T133" s="3"/>
      <c r="U133"/>
    </row>
    <row r="134" spans="1:21" x14ac:dyDescent="0.2">
      <c r="B134" t="s">
        <v>1031</v>
      </c>
      <c r="C134" s="130"/>
      <c r="D134" s="130"/>
      <c r="E134" s="130"/>
      <c r="F134" s="130"/>
      <c r="G134" s="130"/>
      <c r="H134" s="130"/>
      <c r="I134" s="255">
        <v>54216</v>
      </c>
      <c r="J134" s="375">
        <v>57654</v>
      </c>
      <c r="K134" s="312">
        <f>+'Financial Policy Numbers'!C49</f>
        <v>61507</v>
      </c>
      <c r="L134" s="312">
        <f>+K134</f>
        <v>61507</v>
      </c>
      <c r="M134" s="278">
        <f>+L134</f>
        <v>61507</v>
      </c>
      <c r="N134" s="736"/>
      <c r="O134" s="151"/>
      <c r="P134" s="3"/>
      <c r="Q134" s="3"/>
      <c r="R134" s="3"/>
      <c r="S134" s="3"/>
      <c r="T134" s="3"/>
      <c r="U134"/>
    </row>
    <row r="135" spans="1:21" x14ac:dyDescent="0.2">
      <c r="B135" s="367" t="s">
        <v>1076</v>
      </c>
      <c r="C135" s="367"/>
      <c r="D135" s="367"/>
      <c r="E135" s="367"/>
      <c r="F135" s="367"/>
      <c r="G135" s="367"/>
      <c r="H135" s="367"/>
      <c r="I135" s="734">
        <v>67510</v>
      </c>
      <c r="J135" s="375"/>
      <c r="K135" s="375"/>
      <c r="L135" s="312">
        <f t="shared" si="21"/>
        <v>0</v>
      </c>
      <c r="M135" s="278">
        <f>+L135</f>
        <v>0</v>
      </c>
      <c r="N135" s="736"/>
      <c r="O135" s="151"/>
      <c r="P135" s="3"/>
      <c r="Q135" s="3"/>
      <c r="R135" s="3"/>
      <c r="S135" s="3"/>
      <c r="T135" s="3"/>
      <c r="U135"/>
    </row>
    <row r="136" spans="1:21" x14ac:dyDescent="0.2">
      <c r="B136" s="367" t="s">
        <v>1309</v>
      </c>
      <c r="C136" s="367"/>
      <c r="D136" s="367"/>
      <c r="E136" s="367"/>
      <c r="F136" s="367"/>
      <c r="G136" s="367"/>
      <c r="H136" s="367"/>
      <c r="I136" s="734"/>
      <c r="J136" s="375">
        <v>51500</v>
      </c>
      <c r="K136" s="375">
        <v>68000</v>
      </c>
      <c r="L136" s="312">
        <f>+K136</f>
        <v>68000</v>
      </c>
      <c r="M136" s="278"/>
      <c r="N136" s="736">
        <f>+L136</f>
        <v>68000</v>
      </c>
      <c r="O136" s="151"/>
      <c r="P136" s="3"/>
      <c r="Q136" s="3"/>
      <c r="R136" s="3"/>
      <c r="S136" s="3"/>
      <c r="T136" s="3"/>
      <c r="U136"/>
    </row>
    <row r="137" spans="1:21" x14ac:dyDescent="0.2">
      <c r="B137" s="367" t="s">
        <v>1236</v>
      </c>
      <c r="C137" s="367"/>
      <c r="D137" s="367"/>
      <c r="E137" s="367"/>
      <c r="F137" s="367"/>
      <c r="G137" s="367"/>
      <c r="H137" s="367"/>
      <c r="I137" s="409">
        <v>37811</v>
      </c>
      <c r="J137" s="375">
        <v>38507</v>
      </c>
      <c r="K137" s="375">
        <f>+'Revenue Projections Detail'!K99</f>
        <v>39185</v>
      </c>
      <c r="L137" s="312">
        <f t="shared" si="21"/>
        <v>39185</v>
      </c>
      <c r="M137" s="278">
        <f>+L137</f>
        <v>39185</v>
      </c>
      <c r="N137" s="736"/>
      <c r="O137" s="151"/>
      <c r="P137" s="3"/>
      <c r="Q137" s="3"/>
      <c r="R137" s="3"/>
      <c r="S137" s="3"/>
      <c r="T137" s="3"/>
      <c r="U137"/>
    </row>
    <row r="138" spans="1:21" x14ac:dyDescent="0.2">
      <c r="B138" s="367" t="s">
        <v>1235</v>
      </c>
      <c r="C138" s="367"/>
      <c r="D138" s="367"/>
      <c r="E138" s="367"/>
      <c r="F138" s="367"/>
      <c r="G138" s="367"/>
      <c r="H138" s="367"/>
      <c r="I138" s="409">
        <v>40150</v>
      </c>
      <c r="J138" s="312">
        <v>40889</v>
      </c>
      <c r="K138" s="312">
        <f>+'Revenue Projections Detail'!K97</f>
        <v>41608</v>
      </c>
      <c r="L138" s="312">
        <f t="shared" ref="L138" si="22">+K138</f>
        <v>41608</v>
      </c>
      <c r="M138" s="75">
        <f>+L138</f>
        <v>41608</v>
      </c>
      <c r="N138" s="3"/>
      <c r="O138" s="151"/>
      <c r="P138" s="3"/>
      <c r="Q138" s="3"/>
      <c r="R138" s="3"/>
      <c r="S138" s="3"/>
      <c r="T138" s="3"/>
      <c r="U138"/>
    </row>
    <row r="139" spans="1:21" x14ac:dyDescent="0.2">
      <c r="B139" s="367" t="s">
        <v>1235</v>
      </c>
      <c r="C139" s="367"/>
      <c r="D139" s="367"/>
      <c r="E139" s="367"/>
      <c r="F139" s="367"/>
      <c r="G139" s="367"/>
      <c r="H139" s="367"/>
      <c r="I139" s="409"/>
      <c r="J139" s="312">
        <v>40889</v>
      </c>
      <c r="K139" s="312">
        <f>+'Revenue Projections Detail'!K100</f>
        <v>41608</v>
      </c>
      <c r="L139" s="312">
        <f t="shared" ref="L139" si="23">+K139</f>
        <v>41608</v>
      </c>
      <c r="M139" s="75">
        <f>+L139</f>
        <v>41608</v>
      </c>
      <c r="N139" s="3"/>
      <c r="O139" s="151"/>
      <c r="P139" s="3"/>
      <c r="Q139" s="3"/>
      <c r="R139" s="3"/>
      <c r="S139" s="3"/>
      <c r="T139" s="3"/>
      <c r="U139"/>
    </row>
    <row r="140" spans="1:21" x14ac:dyDescent="0.2">
      <c r="B140" s="367" t="s">
        <v>1657</v>
      </c>
      <c r="C140" s="367"/>
      <c r="D140" s="367"/>
      <c r="E140" s="367"/>
      <c r="F140" s="367"/>
      <c r="G140" s="367"/>
      <c r="H140" s="367"/>
      <c r="I140" s="409"/>
      <c r="J140" s="312"/>
      <c r="K140" s="312">
        <v>118000</v>
      </c>
      <c r="L140" s="312">
        <f t="shared" ref="L140:L141" si="24">+K140</f>
        <v>118000</v>
      </c>
      <c r="N140" s="3">
        <f>+K140</f>
        <v>118000</v>
      </c>
      <c r="O140" s="151"/>
      <c r="P140" s="3"/>
      <c r="Q140" s="3"/>
      <c r="R140" s="3"/>
      <c r="S140" s="3"/>
      <c r="T140" s="3"/>
      <c r="U140"/>
    </row>
    <row r="141" spans="1:21" x14ac:dyDescent="0.2">
      <c r="B141" s="367" t="s">
        <v>1658</v>
      </c>
      <c r="C141" s="367"/>
      <c r="D141" s="367"/>
      <c r="E141" s="367"/>
      <c r="F141" s="367"/>
      <c r="G141" s="367"/>
      <c r="H141" s="367"/>
      <c r="I141" s="409"/>
      <c r="J141" s="312"/>
      <c r="K141" s="312">
        <v>-42762</v>
      </c>
      <c r="L141" s="312">
        <f t="shared" si="24"/>
        <v>-42762</v>
      </c>
      <c r="M141" s="75">
        <f t="shared" ref="M141" si="25">+L141</f>
        <v>-42762</v>
      </c>
      <c r="N141" s="3"/>
      <c r="O141" s="151"/>
      <c r="P141" s="3"/>
      <c r="Q141" s="3"/>
      <c r="R141" s="3"/>
      <c r="S141" s="3"/>
      <c r="T141" s="3"/>
      <c r="U141"/>
    </row>
    <row r="142" spans="1:21" x14ac:dyDescent="0.2">
      <c r="A142" s="2"/>
      <c r="B142" s="254" t="s">
        <v>1237</v>
      </c>
      <c r="C142" s="131"/>
      <c r="D142" s="131"/>
      <c r="E142" s="131"/>
      <c r="F142" s="131"/>
      <c r="G142" s="131"/>
      <c r="H142" s="131"/>
      <c r="I142" s="277"/>
      <c r="J142" s="311">
        <v>16250</v>
      </c>
      <c r="K142" s="311">
        <v>16250</v>
      </c>
      <c r="L142" s="312">
        <f>+K142</f>
        <v>16250</v>
      </c>
      <c r="M142" s="409">
        <f>+K142</f>
        <v>16250</v>
      </c>
      <c r="N142" s="3"/>
      <c r="O142" s="151"/>
      <c r="P142" s="3"/>
      <c r="Q142" s="3"/>
      <c r="R142" s="3"/>
      <c r="S142" s="3"/>
      <c r="T142" s="3"/>
      <c r="U142"/>
    </row>
    <row r="143" spans="1:21" x14ac:dyDescent="0.2">
      <c r="B143" s="254" t="s">
        <v>1263</v>
      </c>
      <c r="C143" s="131"/>
      <c r="D143" s="131"/>
      <c r="E143" s="131"/>
      <c r="F143" s="131"/>
      <c r="G143" s="131"/>
      <c r="H143" s="131"/>
      <c r="I143" s="277"/>
      <c r="J143" s="311">
        <v>50000</v>
      </c>
      <c r="K143" s="311"/>
      <c r="L143" s="312"/>
      <c r="M143" s="409"/>
      <c r="N143" s="3">
        <f>+L143</f>
        <v>0</v>
      </c>
      <c r="O143" s="151"/>
      <c r="P143" s="3"/>
      <c r="Q143" s="3"/>
      <c r="R143" s="3"/>
      <c r="S143" s="3"/>
      <c r="T143" s="3"/>
      <c r="U143"/>
    </row>
    <row r="144" spans="1:21" x14ac:dyDescent="0.2">
      <c r="B144" s="367" t="s">
        <v>1287</v>
      </c>
      <c r="C144" s="367"/>
      <c r="D144" s="367"/>
      <c r="E144" s="367"/>
      <c r="F144" s="367"/>
      <c r="G144" s="367"/>
      <c r="H144" s="367"/>
      <c r="I144" s="367"/>
      <c r="J144" s="409">
        <v>76670</v>
      </c>
      <c r="K144" s="765"/>
      <c r="L144" s="312"/>
      <c r="M144" s="409"/>
      <c r="N144" s="3">
        <f>+L144</f>
        <v>0</v>
      </c>
      <c r="O144" s="151"/>
      <c r="P144" s="3"/>
      <c r="Q144" s="3"/>
      <c r="R144" s="3"/>
      <c r="S144" s="3"/>
      <c r="T144" s="3"/>
      <c r="U144"/>
    </row>
    <row r="145" spans="1:21" x14ac:dyDescent="0.2">
      <c r="A145" s="2"/>
      <c r="B145" s="367" t="s">
        <v>1288</v>
      </c>
      <c r="C145" s="367"/>
      <c r="D145" s="367"/>
      <c r="E145" s="367"/>
      <c r="F145" s="367"/>
      <c r="G145" s="367"/>
      <c r="H145" s="367"/>
      <c r="I145" s="367"/>
      <c r="J145" s="409">
        <v>21755</v>
      </c>
      <c r="K145" s="765"/>
      <c r="L145" s="312"/>
      <c r="M145" s="409"/>
      <c r="N145" s="3">
        <f>+L145</f>
        <v>0</v>
      </c>
      <c r="O145" s="151"/>
      <c r="P145" s="3"/>
      <c r="Q145" s="3"/>
      <c r="R145" s="3"/>
      <c r="S145" s="3"/>
      <c r="T145" s="3"/>
      <c r="U145"/>
    </row>
    <row r="146" spans="1:21" x14ac:dyDescent="0.2">
      <c r="B146" s="376" t="s">
        <v>1289</v>
      </c>
      <c r="C146" s="148"/>
      <c r="D146" s="148"/>
      <c r="E146" s="148"/>
      <c r="F146" s="148"/>
      <c r="G146" s="148"/>
      <c r="H146" s="148"/>
      <c r="I146" s="148"/>
      <c r="J146" s="408"/>
      <c r="K146" s="764"/>
      <c r="L146" s="312"/>
      <c r="M146" s="409"/>
      <c r="N146" s="3">
        <f>+L146</f>
        <v>0</v>
      </c>
      <c r="O146" s="151"/>
      <c r="P146" s="3"/>
      <c r="Q146" s="3"/>
      <c r="R146" s="3"/>
      <c r="S146" s="3"/>
      <c r="T146" s="3"/>
      <c r="U146"/>
    </row>
    <row r="147" spans="1:21" x14ac:dyDescent="0.2">
      <c r="B147" s="376" t="s">
        <v>1634</v>
      </c>
      <c r="C147" s="148"/>
      <c r="D147" s="148"/>
      <c r="E147" s="148"/>
      <c r="F147" s="148"/>
      <c r="G147" s="148"/>
      <c r="H147" s="148"/>
      <c r="I147" s="148"/>
      <c r="J147" s="408"/>
      <c r="K147" s="408">
        <v>7500</v>
      </c>
      <c r="L147" s="312">
        <f>+K147</f>
        <v>7500</v>
      </c>
      <c r="M147" s="409">
        <f>+K147</f>
        <v>7500</v>
      </c>
      <c r="N147" s="3"/>
      <c r="O147" s="151"/>
      <c r="P147" s="3"/>
      <c r="Q147" s="3"/>
      <c r="R147" s="3"/>
      <c r="S147" s="3"/>
      <c r="T147" s="3"/>
      <c r="U147"/>
    </row>
    <row r="148" spans="1:21" x14ac:dyDescent="0.2">
      <c r="B148" s="376" t="s">
        <v>1635</v>
      </c>
      <c r="C148" s="148"/>
      <c r="D148" s="148"/>
      <c r="E148" s="148"/>
      <c r="F148" s="148"/>
      <c r="G148" s="148"/>
      <c r="H148" s="148"/>
      <c r="I148" s="148"/>
      <c r="J148" s="408"/>
      <c r="K148" s="408">
        <v>7500</v>
      </c>
      <c r="L148" s="312">
        <f t="shared" ref="L148:L149" si="26">+K148</f>
        <v>7500</v>
      </c>
      <c r="M148" s="409">
        <f t="shared" ref="M148:M149" si="27">+K148</f>
        <v>7500</v>
      </c>
      <c r="N148" s="3"/>
      <c r="O148" s="151"/>
      <c r="P148" s="3"/>
      <c r="Q148" s="3"/>
      <c r="R148" s="3"/>
      <c r="S148" s="3"/>
      <c r="T148" s="3"/>
      <c r="U148"/>
    </row>
    <row r="149" spans="1:21" x14ac:dyDescent="0.2">
      <c r="B149" s="376" t="s">
        <v>1636</v>
      </c>
      <c r="C149" s="148"/>
      <c r="D149" s="148"/>
      <c r="E149" s="148"/>
      <c r="F149" s="148"/>
      <c r="G149" s="148"/>
      <c r="H149" s="148"/>
      <c r="I149" s="148"/>
      <c r="J149" s="408"/>
      <c r="K149" s="408">
        <v>6953</v>
      </c>
      <c r="L149" s="312">
        <f t="shared" si="26"/>
        <v>6953</v>
      </c>
      <c r="M149" s="409">
        <f t="shared" si="27"/>
        <v>6953</v>
      </c>
      <c r="N149" s="3"/>
      <c r="O149" s="151"/>
      <c r="P149" s="3"/>
      <c r="Q149" s="3"/>
      <c r="R149" s="3"/>
      <c r="S149" s="3"/>
      <c r="T149" s="3"/>
      <c r="U149"/>
    </row>
    <row r="150" spans="1:21" x14ac:dyDescent="0.2">
      <c r="B150" s="376" t="s">
        <v>1290</v>
      </c>
      <c r="C150" s="376"/>
      <c r="D150" s="376"/>
      <c r="E150" s="376"/>
      <c r="F150" s="376"/>
      <c r="G150" s="376"/>
      <c r="H150" s="376"/>
      <c r="I150" s="376"/>
      <c r="J150" s="408">
        <v>35344</v>
      </c>
      <c r="K150" s="764"/>
      <c r="L150" s="312"/>
      <c r="M150" s="409"/>
      <c r="N150" s="3">
        <f>+L150</f>
        <v>0</v>
      </c>
      <c r="O150" s="151"/>
      <c r="P150" s="3"/>
      <c r="Q150" s="3"/>
      <c r="R150" s="3"/>
      <c r="S150" s="3"/>
      <c r="T150" s="3"/>
      <c r="U150"/>
    </row>
    <row r="151" spans="1:21" x14ac:dyDescent="0.2">
      <c r="B151" s="376" t="s">
        <v>1522</v>
      </c>
      <c r="C151" s="376"/>
      <c r="D151" s="376"/>
      <c r="E151" s="376"/>
      <c r="F151" s="376"/>
      <c r="G151" s="376"/>
      <c r="H151" s="376"/>
      <c r="I151" s="376"/>
      <c r="J151" s="408"/>
      <c r="K151" s="408">
        <v>20000</v>
      </c>
      <c r="L151" s="312">
        <f>+K151</f>
        <v>20000</v>
      </c>
      <c r="M151" s="409">
        <f>+K151</f>
        <v>20000</v>
      </c>
      <c r="N151" s="3"/>
      <c r="O151" s="151"/>
      <c r="P151" s="3"/>
      <c r="Q151" s="3"/>
      <c r="R151" s="3"/>
      <c r="S151" s="3"/>
      <c r="T151" s="3"/>
      <c r="U151"/>
    </row>
    <row r="152" spans="1:21" x14ac:dyDescent="0.2">
      <c r="B152" s="376" t="s">
        <v>1291</v>
      </c>
      <c r="C152" s="148"/>
      <c r="D152" s="148"/>
      <c r="E152" s="148"/>
      <c r="F152" s="148"/>
      <c r="G152" s="148"/>
      <c r="H152" s="148"/>
      <c r="I152" s="242"/>
      <c r="J152" s="408"/>
      <c r="K152" s="764"/>
      <c r="L152" s="312"/>
      <c r="M152" s="409"/>
      <c r="N152" s="3">
        <f>+L152</f>
        <v>0</v>
      </c>
      <c r="O152" s="151"/>
      <c r="P152" s="3"/>
      <c r="Q152" s="3"/>
      <c r="R152" s="3"/>
      <c r="S152" s="3"/>
      <c r="T152" s="3"/>
      <c r="U152"/>
    </row>
    <row r="153" spans="1:21" x14ac:dyDescent="0.2">
      <c r="B153" s="367" t="s">
        <v>1132</v>
      </c>
      <c r="C153" s="367"/>
      <c r="D153" s="367"/>
      <c r="E153" s="367"/>
      <c r="F153" s="367"/>
      <c r="G153" s="367"/>
      <c r="H153" s="409"/>
      <c r="I153" s="409">
        <v>7000</v>
      </c>
      <c r="J153" s="312"/>
      <c r="K153" s="311"/>
      <c r="L153" s="278"/>
      <c r="N153" s="736"/>
      <c r="O153" s="737"/>
      <c r="P153" s="3"/>
      <c r="Q153" s="3"/>
      <c r="R153" s="3"/>
      <c r="S153" s="3"/>
      <c r="T153" s="3"/>
      <c r="U153"/>
    </row>
    <row r="154" spans="1:21" x14ac:dyDescent="0.2">
      <c r="A154" s="2"/>
      <c r="B154" s="367" t="s">
        <v>1400</v>
      </c>
      <c r="C154" s="367"/>
      <c r="D154" s="367"/>
      <c r="E154" s="367"/>
      <c r="F154" s="367"/>
      <c r="G154" s="367"/>
      <c r="H154" s="409"/>
      <c r="I154" s="409"/>
      <c r="J154" s="312"/>
      <c r="K154" s="311">
        <v>5000</v>
      </c>
      <c r="L154" s="278">
        <f>+K154</f>
        <v>5000</v>
      </c>
      <c r="M154" s="75">
        <f>K154</f>
        <v>5000</v>
      </c>
      <c r="N154" s="736"/>
      <c r="O154" s="737"/>
      <c r="P154" s="3"/>
      <c r="Q154" s="3"/>
      <c r="R154" s="3"/>
      <c r="S154" s="3"/>
      <c r="T154" s="3"/>
      <c r="U154"/>
    </row>
    <row r="155" spans="1:21" x14ac:dyDescent="0.2">
      <c r="A155" s="254"/>
      <c r="B155" s="367" t="s">
        <v>1192</v>
      </c>
      <c r="C155" s="367"/>
      <c r="D155" s="367"/>
      <c r="E155" s="367"/>
      <c r="F155" s="367"/>
      <c r="G155" s="367"/>
      <c r="H155" s="367"/>
      <c r="I155" s="409">
        <v>30000</v>
      </c>
      <c r="J155" s="312"/>
      <c r="K155" s="311"/>
      <c r="L155" s="278"/>
      <c r="N155" s="736"/>
      <c r="O155" s="737"/>
      <c r="P155" s="3"/>
      <c r="Q155" s="3"/>
      <c r="R155" s="3"/>
      <c r="S155" s="3"/>
      <c r="T155" s="3"/>
      <c r="U155"/>
    </row>
    <row r="156" spans="1:21" x14ac:dyDescent="0.2">
      <c r="A156" s="254"/>
      <c r="B156" s="367" t="s">
        <v>1271</v>
      </c>
      <c r="C156" s="367"/>
      <c r="D156" s="367"/>
      <c r="E156" s="367"/>
      <c r="F156" s="367"/>
      <c r="G156" s="367"/>
      <c r="H156" s="367"/>
      <c r="I156" s="409"/>
      <c r="J156" s="312">
        <v>50000</v>
      </c>
      <c r="K156" s="766"/>
      <c r="L156" s="312"/>
      <c r="M156" s="409"/>
      <c r="N156" s="3">
        <f t="shared" ref="N156:N161" si="28">+L156</f>
        <v>0</v>
      </c>
      <c r="O156" s="737"/>
      <c r="P156" s="3"/>
      <c r="Q156" s="3"/>
      <c r="R156" s="3"/>
      <c r="S156" s="3"/>
      <c r="T156" s="3"/>
      <c r="U156"/>
    </row>
    <row r="157" spans="1:21" x14ac:dyDescent="0.2">
      <c r="A157" s="254"/>
      <c r="B157" s="367" t="s">
        <v>1272</v>
      </c>
      <c r="C157" s="367"/>
      <c r="D157" s="367"/>
      <c r="E157" s="367"/>
      <c r="F157" s="367"/>
      <c r="G157" s="367"/>
      <c r="H157" s="367"/>
      <c r="I157" s="409"/>
      <c r="J157" s="312">
        <v>7500</v>
      </c>
      <c r="K157" s="766"/>
      <c r="L157" s="312"/>
      <c r="M157" s="409"/>
      <c r="N157" s="736">
        <f t="shared" si="28"/>
        <v>0</v>
      </c>
      <c r="O157" s="737"/>
      <c r="P157" s="3"/>
      <c r="Q157" s="3"/>
      <c r="R157" s="3"/>
      <c r="S157" s="3"/>
      <c r="T157" s="3"/>
      <c r="U157"/>
    </row>
    <row r="158" spans="1:21" x14ac:dyDescent="0.2">
      <c r="A158" s="254"/>
      <c r="B158" s="367" t="s">
        <v>1273</v>
      </c>
      <c r="C158" s="367"/>
      <c r="D158" s="367"/>
      <c r="E158" s="367"/>
      <c r="F158" s="367"/>
      <c r="G158" s="367"/>
      <c r="H158" s="367"/>
      <c r="I158" s="409"/>
      <c r="J158" s="312">
        <v>8975</v>
      </c>
      <c r="K158" s="766"/>
      <c r="L158" s="312"/>
      <c r="M158" s="409"/>
      <c r="N158" s="736">
        <f t="shared" si="28"/>
        <v>0</v>
      </c>
      <c r="O158" s="737"/>
      <c r="P158" s="3"/>
      <c r="Q158" s="3"/>
      <c r="R158" s="3"/>
      <c r="S158" s="3"/>
      <c r="T158" s="3"/>
      <c r="U158"/>
    </row>
    <row r="159" spans="1:21" x14ac:dyDescent="0.2">
      <c r="A159" s="254"/>
      <c r="B159" s="367" t="s">
        <v>1274</v>
      </c>
      <c r="C159" s="367"/>
      <c r="D159" s="367"/>
      <c r="E159" s="367"/>
      <c r="F159" s="367"/>
      <c r="G159" s="367"/>
      <c r="H159" s="367"/>
      <c r="I159" s="409"/>
      <c r="J159" s="312">
        <v>22050</v>
      </c>
      <c r="K159" s="766"/>
      <c r="L159" s="312"/>
      <c r="M159" s="409"/>
      <c r="N159" s="736">
        <f t="shared" si="28"/>
        <v>0</v>
      </c>
      <c r="O159" s="737"/>
      <c r="P159" s="3"/>
      <c r="Q159" s="3"/>
      <c r="R159" s="3"/>
      <c r="S159" s="3"/>
      <c r="T159" s="3"/>
      <c r="U159"/>
    </row>
    <row r="160" spans="1:21" x14ac:dyDescent="0.2">
      <c r="A160" s="254"/>
      <c r="B160" s="367" t="s">
        <v>1280</v>
      </c>
      <c r="C160" s="367"/>
      <c r="D160" s="367"/>
      <c r="E160" s="367"/>
      <c r="F160" s="367"/>
      <c r="G160" s="367"/>
      <c r="H160" s="367"/>
      <c r="I160" s="409"/>
      <c r="J160" s="312">
        <v>20000</v>
      </c>
      <c r="K160" s="766"/>
      <c r="L160" s="312"/>
      <c r="M160" s="409"/>
      <c r="N160" s="736">
        <f t="shared" si="28"/>
        <v>0</v>
      </c>
      <c r="O160" s="737"/>
      <c r="P160" s="3"/>
      <c r="Q160" s="3"/>
      <c r="R160" s="3"/>
      <c r="S160" s="3"/>
      <c r="T160" s="3"/>
      <c r="U160"/>
    </row>
    <row r="161" spans="1:21" x14ac:dyDescent="0.2">
      <c r="A161" s="254"/>
      <c r="B161" s="367" t="s">
        <v>1279</v>
      </c>
      <c r="C161" s="367"/>
      <c r="D161" s="367"/>
      <c r="E161" s="367"/>
      <c r="F161" s="367"/>
      <c r="G161" s="367"/>
      <c r="H161" s="367"/>
      <c r="I161" s="409"/>
      <c r="J161" s="312">
        <v>10000</v>
      </c>
      <c r="K161" s="766"/>
      <c r="L161" s="312"/>
      <c r="M161" s="409"/>
      <c r="N161" s="736">
        <f t="shared" si="28"/>
        <v>0</v>
      </c>
      <c r="O161" s="737"/>
      <c r="P161" s="3"/>
      <c r="Q161" s="3"/>
      <c r="R161" s="3"/>
      <c r="S161" s="3"/>
      <c r="T161" s="3"/>
      <c r="U161"/>
    </row>
    <row r="162" spans="1:21" x14ac:dyDescent="0.2">
      <c r="A162" s="254"/>
      <c r="B162" s="367" t="s">
        <v>1138</v>
      </c>
      <c r="C162" s="367"/>
      <c r="D162" s="367"/>
      <c r="E162" s="367"/>
      <c r="F162" s="367"/>
      <c r="G162" s="367"/>
      <c r="H162" s="367"/>
      <c r="I162" s="409">
        <v>12000</v>
      </c>
      <c r="J162" s="311"/>
      <c r="K162" s="311"/>
      <c r="L162" s="278"/>
      <c r="M162" s="278">
        <f>+L162</f>
        <v>0</v>
      </c>
      <c r="N162" s="736"/>
      <c r="O162" s="737"/>
      <c r="P162" s="3"/>
      <c r="Q162" s="3"/>
      <c r="R162" s="3"/>
      <c r="S162" s="3"/>
      <c r="T162" s="3"/>
      <c r="U162"/>
    </row>
    <row r="163" spans="1:21" x14ac:dyDescent="0.2">
      <c r="B163" s="254" t="s">
        <v>664</v>
      </c>
      <c r="C163" s="130"/>
      <c r="D163" s="130"/>
      <c r="E163" s="130"/>
      <c r="F163" s="130"/>
      <c r="G163" s="130"/>
      <c r="H163" s="130"/>
      <c r="I163" s="255">
        <v>15000</v>
      </c>
      <c r="J163" s="312">
        <v>11000</v>
      </c>
      <c r="K163" s="312"/>
      <c r="L163" s="278"/>
      <c r="M163" s="278">
        <f>+L163</f>
        <v>0</v>
      </c>
      <c r="N163" s="255"/>
      <c r="O163" s="278"/>
      <c r="P163" s="255"/>
      <c r="Q163" s="124"/>
      <c r="U163"/>
    </row>
    <row r="164" spans="1:21" x14ac:dyDescent="0.2">
      <c r="B164" s="367" t="s">
        <v>1378</v>
      </c>
      <c r="C164" s="130"/>
      <c r="D164" s="130"/>
      <c r="E164" s="130"/>
      <c r="F164" s="130"/>
      <c r="G164" s="130"/>
      <c r="H164" s="130"/>
      <c r="I164" s="255"/>
      <c r="J164" s="311">
        <v>15000</v>
      </c>
      <c r="K164" s="311"/>
      <c r="L164" s="312"/>
      <c r="M164" s="409"/>
      <c r="N164" s="3"/>
      <c r="O164" s="278"/>
      <c r="P164" s="255"/>
      <c r="Q164" s="124"/>
      <c r="U164"/>
    </row>
    <row r="165" spans="1:21" hidden="1" x14ac:dyDescent="0.2">
      <c r="B165" s="367" t="s">
        <v>1186</v>
      </c>
      <c r="C165" s="130"/>
      <c r="D165" s="130"/>
      <c r="E165" s="130"/>
      <c r="F165" s="130"/>
      <c r="G165" s="130"/>
      <c r="H165" s="130"/>
      <c r="I165" s="255">
        <v>30000</v>
      </c>
      <c r="J165" s="311"/>
      <c r="K165" s="311"/>
      <c r="L165" s="312"/>
      <c r="M165" s="409"/>
      <c r="N165" s="255"/>
      <c r="O165" s="278"/>
      <c r="P165" s="255"/>
      <c r="Q165" s="124"/>
      <c r="U165"/>
    </row>
    <row r="166" spans="1:21" hidden="1" x14ac:dyDescent="0.2">
      <c r="B166" s="367" t="s">
        <v>1187</v>
      </c>
      <c r="C166" s="130"/>
      <c r="D166" s="130"/>
      <c r="E166" s="130"/>
      <c r="F166" s="130"/>
      <c r="G166" s="130"/>
      <c r="H166" s="130"/>
      <c r="I166" s="255">
        <v>72000</v>
      </c>
      <c r="J166" s="311"/>
      <c r="K166" s="311"/>
      <c r="L166" s="312"/>
      <c r="M166" s="409"/>
      <c r="N166" s="255"/>
      <c r="O166" s="278"/>
      <c r="P166" s="255"/>
      <c r="Q166" s="124"/>
      <c r="U166"/>
    </row>
    <row r="167" spans="1:21" hidden="1" x14ac:dyDescent="0.2">
      <c r="B167" s="367" t="s">
        <v>1188</v>
      </c>
      <c r="C167" s="130"/>
      <c r="D167" s="130"/>
      <c r="E167" s="130"/>
      <c r="F167" s="130"/>
      <c r="G167" s="130"/>
      <c r="H167" s="130"/>
      <c r="I167" s="255">
        <v>30000</v>
      </c>
      <c r="J167" s="311"/>
      <c r="K167" s="311"/>
      <c r="L167" s="312"/>
      <c r="M167" s="409"/>
      <c r="N167" s="255"/>
      <c r="O167" s="278"/>
      <c r="P167" s="255"/>
      <c r="Q167" s="124"/>
      <c r="U167"/>
    </row>
    <row r="168" spans="1:21" hidden="1" x14ac:dyDescent="0.2">
      <c r="B168" s="367" t="s">
        <v>1189</v>
      </c>
      <c r="C168" s="130"/>
      <c r="D168" s="130"/>
      <c r="E168" s="130"/>
      <c r="F168" s="130"/>
      <c r="G168" s="130"/>
      <c r="H168" s="130"/>
      <c r="I168" s="255">
        <v>25000</v>
      </c>
      <c r="J168" s="311"/>
      <c r="K168" s="311"/>
      <c r="L168" s="312"/>
      <c r="M168" s="409"/>
      <c r="N168" s="255"/>
      <c r="O168" s="278"/>
      <c r="P168" s="255"/>
      <c r="Q168" s="124"/>
      <c r="U168"/>
    </row>
    <row r="169" spans="1:21" hidden="1" x14ac:dyDescent="0.2">
      <c r="B169" s="367" t="s">
        <v>1191</v>
      </c>
      <c r="C169" s="130"/>
      <c r="D169" s="130"/>
      <c r="E169" s="130"/>
      <c r="F169" s="130"/>
      <c r="G169" s="130"/>
      <c r="H169" s="130"/>
      <c r="I169" s="255">
        <v>150000</v>
      </c>
      <c r="J169" s="311"/>
      <c r="K169" s="311"/>
      <c r="L169" s="312"/>
      <c r="M169" s="409"/>
      <c r="N169" s="255"/>
      <c r="O169" s="278"/>
      <c r="P169" s="255"/>
      <c r="Q169" s="124"/>
      <c r="U169"/>
    </row>
    <row r="170" spans="1:21" hidden="1" x14ac:dyDescent="0.2">
      <c r="B170" s="367" t="s">
        <v>1190</v>
      </c>
      <c r="C170" s="130"/>
      <c r="D170" s="130"/>
      <c r="E170" s="130"/>
      <c r="F170" s="130"/>
      <c r="G170" s="130"/>
      <c r="H170" s="130"/>
      <c r="I170" s="255">
        <v>521000</v>
      </c>
      <c r="J170" s="311"/>
      <c r="K170" s="311"/>
      <c r="L170" s="312"/>
      <c r="M170" s="409"/>
      <c r="N170" s="255"/>
      <c r="O170" s="278"/>
      <c r="P170" s="255"/>
      <c r="Q170" s="124"/>
      <c r="R170" s="2">
        <f>+L170</f>
        <v>0</v>
      </c>
      <c r="U170"/>
    </row>
    <row r="171" spans="1:21" x14ac:dyDescent="0.2">
      <c r="A171" s="267" t="s">
        <v>1648</v>
      </c>
      <c r="B171" s="367" t="s">
        <v>1629</v>
      </c>
      <c r="C171" s="367"/>
      <c r="D171" s="367"/>
      <c r="E171" s="367"/>
      <c r="F171" s="367"/>
      <c r="G171" s="367"/>
      <c r="H171" s="367"/>
      <c r="I171" s="409">
        <v>100000</v>
      </c>
      <c r="J171" s="312">
        <v>100000</v>
      </c>
      <c r="K171" s="861">
        <v>100000</v>
      </c>
      <c r="L171" s="312">
        <v>80000</v>
      </c>
      <c r="M171" s="409">
        <f>+L171</f>
        <v>80000</v>
      </c>
      <c r="N171" s="255"/>
      <c r="O171" s="278"/>
      <c r="P171" s="255"/>
      <c r="U171"/>
    </row>
    <row r="172" spans="1:21" hidden="1" x14ac:dyDescent="0.2">
      <c r="A172" s="267"/>
      <c r="B172" s="254" t="s">
        <v>875</v>
      </c>
      <c r="C172" s="367"/>
      <c r="D172" s="367"/>
      <c r="E172" s="367"/>
      <c r="F172" s="367"/>
      <c r="G172" s="367"/>
      <c r="H172" s="367"/>
      <c r="I172" s="409"/>
      <c r="J172" s="311"/>
      <c r="K172" s="311"/>
      <c r="L172" s="312"/>
      <c r="M172" s="409"/>
      <c r="N172" s="255"/>
      <c r="O172" s="278"/>
      <c r="P172" s="255"/>
      <c r="R172" s="311">
        <f>+K172</f>
        <v>0</v>
      </c>
      <c r="U172"/>
    </row>
    <row r="173" spans="1:21" hidden="1" x14ac:dyDescent="0.2">
      <c r="A173" s="267"/>
      <c r="B173" s="670" t="s">
        <v>1174</v>
      </c>
      <c r="C173" s="367"/>
      <c r="D173" s="367"/>
      <c r="E173" s="367"/>
      <c r="F173" s="367"/>
      <c r="G173" s="367"/>
      <c r="H173" s="367"/>
      <c r="I173" s="409"/>
      <c r="J173" s="311"/>
      <c r="K173" s="311"/>
      <c r="L173" s="312"/>
      <c r="M173" s="409">
        <f>+L173</f>
        <v>0</v>
      </c>
      <c r="N173" s="255"/>
      <c r="O173" s="278"/>
      <c r="P173" s="255"/>
      <c r="R173" s="311"/>
      <c r="U173"/>
    </row>
    <row r="174" spans="1:21" hidden="1" x14ac:dyDescent="0.2">
      <c r="A174" s="267"/>
      <c r="B174" s="254" t="s">
        <v>1078</v>
      </c>
      <c r="C174" s="367"/>
      <c r="D174" s="367"/>
      <c r="E174" s="367"/>
      <c r="F174" s="367"/>
      <c r="G174" s="367"/>
      <c r="H174" s="367"/>
      <c r="I174" s="409"/>
      <c r="J174" s="311"/>
      <c r="K174" s="311"/>
      <c r="L174" s="312">
        <f>+K174</f>
        <v>0</v>
      </c>
      <c r="M174" s="409"/>
      <c r="N174" s="255"/>
      <c r="O174" s="278"/>
      <c r="P174" s="255"/>
      <c r="R174" s="311"/>
      <c r="S174" s="2">
        <f>+K174</f>
        <v>0</v>
      </c>
      <c r="U174"/>
    </row>
    <row r="175" spans="1:21" hidden="1" x14ac:dyDescent="0.2">
      <c r="A175" s="267"/>
      <c r="B175" s="254" t="s">
        <v>947</v>
      </c>
      <c r="C175" s="367"/>
      <c r="D175" s="367"/>
      <c r="E175" s="367"/>
      <c r="F175" s="367"/>
      <c r="G175" s="367"/>
      <c r="H175" s="367"/>
      <c r="I175" s="409"/>
      <c r="J175" s="311"/>
      <c r="K175" s="311"/>
      <c r="L175" s="312"/>
      <c r="M175" s="409"/>
      <c r="N175" s="255"/>
      <c r="O175" s="278"/>
      <c r="P175" s="255"/>
      <c r="R175" s="311"/>
      <c r="S175" s="2">
        <f>+K175</f>
        <v>0</v>
      </c>
      <c r="U175"/>
    </row>
    <row r="176" spans="1:21" hidden="1" x14ac:dyDescent="0.2">
      <c r="A176" s="267"/>
      <c r="B176" s="367" t="s">
        <v>769</v>
      </c>
      <c r="C176" s="131"/>
      <c r="D176" s="131"/>
      <c r="E176" s="131"/>
      <c r="F176" s="131"/>
      <c r="G176" s="131"/>
      <c r="H176" s="131"/>
      <c r="I176" s="277"/>
      <c r="J176" s="311"/>
      <c r="K176" s="311"/>
      <c r="L176" s="312"/>
      <c r="M176" s="409">
        <f>+K176</f>
        <v>0</v>
      </c>
      <c r="N176" s="255"/>
      <c r="O176" s="278"/>
      <c r="P176" s="255"/>
      <c r="R176" s="2">
        <f>+K176</f>
        <v>0</v>
      </c>
      <c r="U176"/>
    </row>
    <row r="177" spans="1:21" x14ac:dyDescent="0.2">
      <c r="A177" s="267"/>
      <c r="B177" s="367" t="s">
        <v>1077</v>
      </c>
      <c r="C177" s="367"/>
      <c r="D177" s="367"/>
      <c r="E177" s="367"/>
      <c r="F177" s="367"/>
      <c r="G177" s="367"/>
      <c r="H177" s="367"/>
      <c r="I177" s="409">
        <v>20000</v>
      </c>
      <c r="J177" s="312">
        <v>20000</v>
      </c>
      <c r="K177" s="312"/>
      <c r="L177" s="312"/>
      <c r="M177" s="312"/>
      <c r="N177" s="255"/>
      <c r="O177" s="278"/>
      <c r="P177" s="255"/>
      <c r="U177"/>
    </row>
    <row r="178" spans="1:21" x14ac:dyDescent="0.2">
      <c r="A178" s="267"/>
      <c r="B178" s="367" t="s">
        <v>1173</v>
      </c>
      <c r="C178" s="131"/>
      <c r="D178" s="131"/>
      <c r="E178" s="131"/>
      <c r="F178" s="131"/>
      <c r="G178" s="131"/>
      <c r="H178" s="131"/>
      <c r="I178" s="277">
        <v>25000</v>
      </c>
      <c r="J178" s="311"/>
      <c r="K178" s="311"/>
      <c r="L178" s="312"/>
      <c r="M178" s="409"/>
      <c r="N178" s="255"/>
      <c r="O178" s="278"/>
      <c r="P178" s="255"/>
      <c r="U178"/>
    </row>
    <row r="179" spans="1:21" x14ac:dyDescent="0.2">
      <c r="A179" s="267"/>
      <c r="B179" s="367" t="s">
        <v>1277</v>
      </c>
      <c r="C179" s="131"/>
      <c r="D179" s="131"/>
      <c r="E179" s="131"/>
      <c r="F179" s="131"/>
      <c r="G179" s="131"/>
      <c r="H179" s="131"/>
      <c r="I179" s="277"/>
      <c r="J179" s="311">
        <v>55000</v>
      </c>
      <c r="K179" s="311"/>
      <c r="L179" s="312"/>
      <c r="M179" s="409"/>
      <c r="N179" s="255"/>
      <c r="O179" s="278"/>
      <c r="P179" s="255"/>
      <c r="U179"/>
    </row>
    <row r="180" spans="1:21" x14ac:dyDescent="0.2">
      <c r="A180" s="267"/>
      <c r="B180" s="367" t="s">
        <v>1278</v>
      </c>
      <c r="C180" s="131"/>
      <c r="D180" s="131"/>
      <c r="E180" s="131"/>
      <c r="F180" s="131"/>
      <c r="G180" s="131"/>
      <c r="H180" s="131"/>
      <c r="I180" s="277"/>
      <c r="J180" s="311">
        <v>25500</v>
      </c>
      <c r="K180" s="311"/>
      <c r="L180" s="312"/>
      <c r="M180" s="409"/>
      <c r="N180" s="255"/>
      <c r="O180" s="278"/>
      <c r="P180" s="255"/>
      <c r="U180"/>
    </row>
    <row r="181" spans="1:21" x14ac:dyDescent="0.2">
      <c r="A181" s="267"/>
      <c r="B181" s="367" t="s">
        <v>1292</v>
      </c>
      <c r="C181" s="131"/>
      <c r="D181" s="131"/>
      <c r="E181" s="131"/>
      <c r="F181" s="131"/>
      <c r="G181" s="131"/>
      <c r="H181" s="131"/>
      <c r="I181" s="277"/>
      <c r="J181" s="311">
        <v>50000</v>
      </c>
      <c r="K181" s="311"/>
      <c r="L181" s="312"/>
      <c r="M181" s="409"/>
      <c r="N181" s="255"/>
      <c r="O181" s="278"/>
      <c r="P181" s="255"/>
      <c r="U181"/>
    </row>
    <row r="182" spans="1:21" x14ac:dyDescent="0.2">
      <c r="A182" s="267"/>
      <c r="B182" s="367" t="s">
        <v>1361</v>
      </c>
      <c r="C182" s="131"/>
      <c r="D182" s="131"/>
      <c r="E182" s="131"/>
      <c r="F182" s="131"/>
      <c r="G182" s="131"/>
      <c r="H182" s="131"/>
      <c r="I182" s="277"/>
      <c r="J182" s="311"/>
      <c r="K182" s="311"/>
      <c r="L182" s="312"/>
      <c r="M182" s="409"/>
      <c r="N182" s="255"/>
      <c r="O182" s="278"/>
      <c r="P182" s="255"/>
      <c r="U182"/>
    </row>
    <row r="183" spans="1:21" x14ac:dyDescent="0.2">
      <c r="A183" s="267"/>
      <c r="B183" s="367" t="s">
        <v>1638</v>
      </c>
      <c r="C183" s="131"/>
      <c r="D183" s="131"/>
      <c r="E183" s="131"/>
      <c r="F183" s="131"/>
      <c r="G183" s="131"/>
      <c r="H183" s="131"/>
      <c r="I183" s="277"/>
      <c r="J183" s="311"/>
      <c r="K183" s="311">
        <v>60000</v>
      </c>
      <c r="L183" s="311">
        <f>+K183</f>
        <v>60000</v>
      </c>
      <c r="M183" s="409"/>
      <c r="N183" s="255">
        <f t="shared" ref="N183:N187" si="29">+K183</f>
        <v>60000</v>
      </c>
      <c r="O183" s="278"/>
      <c r="P183" s="255"/>
      <c r="U183"/>
    </row>
    <row r="184" spans="1:21" x14ac:dyDescent="0.2">
      <c r="A184" s="267" t="s">
        <v>1649</v>
      </c>
      <c r="B184" s="376" t="s">
        <v>1639</v>
      </c>
      <c r="C184" s="131"/>
      <c r="D184" s="131"/>
      <c r="E184" s="131"/>
      <c r="F184" s="131"/>
      <c r="G184" s="131"/>
      <c r="H184" s="131"/>
      <c r="I184" s="277"/>
      <c r="J184" s="311"/>
      <c r="K184" s="862">
        <v>60000</v>
      </c>
      <c r="L184" s="311">
        <v>10000</v>
      </c>
      <c r="M184" s="409"/>
      <c r="N184" s="255">
        <f>+L184</f>
        <v>10000</v>
      </c>
      <c r="O184" s="278"/>
      <c r="P184" s="255"/>
      <c r="U184"/>
    </row>
    <row r="185" spans="1:21" x14ac:dyDescent="0.2">
      <c r="A185" s="267"/>
      <c r="B185" s="376" t="s">
        <v>1640</v>
      </c>
      <c r="C185" s="131"/>
      <c r="D185" s="131"/>
      <c r="E185" s="131"/>
      <c r="F185" s="131"/>
      <c r="G185" s="131"/>
      <c r="H185" s="131"/>
      <c r="I185" s="277"/>
      <c r="J185" s="311"/>
      <c r="K185" s="311">
        <v>50000</v>
      </c>
      <c r="L185" s="311">
        <f>+K185</f>
        <v>50000</v>
      </c>
      <c r="M185" s="409"/>
      <c r="N185" s="255">
        <f t="shared" si="29"/>
        <v>50000</v>
      </c>
      <c r="O185" s="278"/>
      <c r="P185" s="255"/>
      <c r="U185"/>
    </row>
    <row r="186" spans="1:21" x14ac:dyDescent="0.2">
      <c r="A186" s="267"/>
      <c r="B186" s="376" t="s">
        <v>1650</v>
      </c>
      <c r="C186" s="131"/>
      <c r="D186" s="131"/>
      <c r="E186" s="131"/>
      <c r="F186" s="131"/>
      <c r="G186" s="131"/>
      <c r="H186" s="131"/>
      <c r="I186" s="277"/>
      <c r="J186" s="311"/>
      <c r="K186" s="311">
        <v>60000</v>
      </c>
      <c r="L186" s="311">
        <f>+K186</f>
        <v>60000</v>
      </c>
      <c r="M186" s="409"/>
      <c r="N186" s="255">
        <f>+K186</f>
        <v>60000</v>
      </c>
      <c r="O186" s="278"/>
      <c r="P186" s="255"/>
      <c r="U186"/>
    </row>
    <row r="187" spans="1:21" x14ac:dyDescent="0.2">
      <c r="A187" s="267"/>
      <c r="B187" s="376" t="s">
        <v>1641</v>
      </c>
      <c r="C187" s="131"/>
      <c r="D187" s="131"/>
      <c r="E187" s="131"/>
      <c r="F187" s="131"/>
      <c r="G187" s="131"/>
      <c r="H187" s="131"/>
      <c r="I187" s="277"/>
      <c r="J187" s="311"/>
      <c r="K187" s="311">
        <v>37260</v>
      </c>
      <c r="L187" s="311">
        <v>37260</v>
      </c>
      <c r="M187" s="409"/>
      <c r="N187" s="255">
        <f t="shared" si="29"/>
        <v>37260</v>
      </c>
      <c r="O187" s="278"/>
      <c r="P187" s="255"/>
      <c r="U187"/>
    </row>
    <row r="188" spans="1:21" x14ac:dyDescent="0.2">
      <c r="A188" s="267"/>
      <c r="B188" s="376" t="s">
        <v>1642</v>
      </c>
      <c r="C188" s="131"/>
      <c r="D188" s="131"/>
      <c r="E188" s="131"/>
      <c r="F188" s="131"/>
      <c r="G188" s="131"/>
      <c r="H188" s="131"/>
      <c r="I188" s="277"/>
      <c r="J188" s="311"/>
      <c r="K188" s="311">
        <v>100000</v>
      </c>
      <c r="L188" s="311">
        <v>100000</v>
      </c>
      <c r="M188" s="409"/>
      <c r="N188" s="255"/>
      <c r="O188" s="278"/>
      <c r="P188" s="255"/>
      <c r="S188" s="2">
        <f>+K188</f>
        <v>100000</v>
      </c>
      <c r="U188"/>
    </row>
    <row r="189" spans="1:21" x14ac:dyDescent="0.2">
      <c r="A189" s="267"/>
      <c r="B189" s="376" t="s">
        <v>1643</v>
      </c>
      <c r="C189" s="131"/>
      <c r="D189" s="131"/>
      <c r="E189" s="131"/>
      <c r="F189" s="131"/>
      <c r="G189" s="131"/>
      <c r="H189" s="131"/>
      <c r="I189" s="277"/>
      <c r="J189" s="311"/>
      <c r="K189" s="311">
        <v>40000</v>
      </c>
      <c r="L189" s="311">
        <v>40000</v>
      </c>
      <c r="M189" s="409"/>
      <c r="N189" s="255"/>
      <c r="O189" s="278">
        <v>15439</v>
      </c>
      <c r="P189" s="255"/>
      <c r="S189" s="2">
        <f>+K189-O189</f>
        <v>24561</v>
      </c>
      <c r="U189"/>
    </row>
    <row r="190" spans="1:21" x14ac:dyDescent="0.2">
      <c r="A190" s="267" t="s">
        <v>1652</v>
      </c>
      <c r="B190" s="376" t="s">
        <v>1651</v>
      </c>
      <c r="C190" s="131"/>
      <c r="D190" s="131"/>
      <c r="E190" s="131"/>
      <c r="F190" s="131"/>
      <c r="G190" s="131"/>
      <c r="H190" s="131"/>
      <c r="I190" s="277"/>
      <c r="J190" s="311"/>
      <c r="K190" s="311">
        <v>51000</v>
      </c>
      <c r="L190" s="312">
        <v>51000</v>
      </c>
      <c r="M190" s="409"/>
      <c r="N190" s="255"/>
      <c r="O190" s="278"/>
      <c r="P190" s="255"/>
      <c r="S190" s="2">
        <v>51000</v>
      </c>
      <c r="U190"/>
    </row>
    <row r="191" spans="1:21" x14ac:dyDescent="0.2">
      <c r="A191" s="267" t="s">
        <v>1654</v>
      </c>
      <c r="B191" s="376" t="s">
        <v>1653</v>
      </c>
      <c r="C191" s="131"/>
      <c r="D191" s="131"/>
      <c r="E191" s="131"/>
      <c r="F191" s="131"/>
      <c r="G191" s="131"/>
      <c r="H191" s="131"/>
      <c r="I191" s="277"/>
      <c r="J191" s="311"/>
      <c r="K191" s="311">
        <v>4800</v>
      </c>
      <c r="L191" s="312"/>
      <c r="M191" s="409"/>
      <c r="N191" s="255"/>
      <c r="O191" s="278"/>
      <c r="P191" s="255"/>
      <c r="T191" s="2">
        <v>4800</v>
      </c>
      <c r="U191"/>
    </row>
    <row r="192" spans="1:21" x14ac:dyDescent="0.2">
      <c r="A192" s="267" t="s">
        <v>1654</v>
      </c>
      <c r="B192" s="376"/>
      <c r="C192" s="131"/>
      <c r="D192" s="131"/>
      <c r="E192" s="131"/>
      <c r="F192" s="131"/>
      <c r="G192" s="131"/>
      <c r="H192" s="131"/>
      <c r="I192" s="277"/>
      <c r="J192" s="311"/>
      <c r="K192" s="311">
        <v>821</v>
      </c>
      <c r="L192" s="312">
        <f>+K192</f>
        <v>821</v>
      </c>
      <c r="M192" s="409"/>
      <c r="N192" s="255"/>
      <c r="O192" s="278">
        <f>+L192</f>
        <v>821</v>
      </c>
      <c r="P192" s="255"/>
      <c r="U192"/>
    </row>
    <row r="193" spans="1:21" x14ac:dyDescent="0.2">
      <c r="A193" s="267"/>
      <c r="B193" s="376"/>
      <c r="C193" s="131"/>
      <c r="D193" s="131"/>
      <c r="E193" s="131"/>
      <c r="F193" s="131"/>
      <c r="G193" s="131"/>
      <c r="H193" s="131"/>
      <c r="I193" s="277"/>
      <c r="J193" s="311"/>
      <c r="K193" s="311"/>
      <c r="L193" s="312"/>
      <c r="M193" s="409"/>
      <c r="N193" s="255"/>
      <c r="O193" s="278"/>
      <c r="P193" s="255"/>
      <c r="U193"/>
    </row>
    <row r="194" spans="1:21" x14ac:dyDescent="0.2">
      <c r="A194" s="267"/>
      <c r="B194" s="376"/>
      <c r="C194" s="131"/>
      <c r="D194" s="131"/>
      <c r="E194" s="131"/>
      <c r="F194" s="131"/>
      <c r="G194" s="131"/>
      <c r="H194" s="131"/>
      <c r="I194" s="277"/>
      <c r="J194" s="311"/>
      <c r="K194" s="311"/>
      <c r="L194" s="312"/>
      <c r="M194" s="409"/>
      <c r="N194" s="255"/>
      <c r="O194" s="278"/>
      <c r="P194" s="255"/>
      <c r="U194"/>
    </row>
    <row r="195" spans="1:21" x14ac:dyDescent="0.2">
      <c r="A195" s="267"/>
      <c r="B195" s="376"/>
      <c r="C195" s="131"/>
      <c r="D195" s="131"/>
      <c r="E195" s="131"/>
      <c r="F195" s="131"/>
      <c r="G195" s="131"/>
      <c r="H195" s="131"/>
      <c r="I195" s="277"/>
      <c r="J195" s="311"/>
      <c r="K195" s="311"/>
      <c r="L195" s="312"/>
      <c r="M195" s="409"/>
      <c r="N195" s="255"/>
      <c r="O195" s="278"/>
      <c r="P195" s="255"/>
      <c r="U195"/>
    </row>
    <row r="196" spans="1:21" x14ac:dyDescent="0.2">
      <c r="A196" s="267"/>
      <c r="B196" s="367"/>
      <c r="C196" s="131"/>
      <c r="D196" s="131"/>
      <c r="E196" s="131"/>
      <c r="F196" s="131"/>
      <c r="G196" s="131"/>
      <c r="H196" s="131"/>
      <c r="I196" s="277"/>
      <c r="J196" s="311"/>
      <c r="K196" s="311"/>
      <c r="L196" s="312"/>
      <c r="M196" s="409"/>
      <c r="N196" s="255"/>
      <c r="O196" s="278"/>
      <c r="P196" s="255"/>
      <c r="U196"/>
    </row>
    <row r="197" spans="1:21" x14ac:dyDescent="0.2">
      <c r="B197" s="130" t="s">
        <v>93</v>
      </c>
      <c r="C197" s="130"/>
      <c r="D197" s="130"/>
      <c r="E197" s="130"/>
      <c r="F197" s="130"/>
      <c r="G197" s="130"/>
      <c r="H197" s="130"/>
      <c r="I197" s="255">
        <v>97375</v>
      </c>
      <c r="J197" s="312">
        <f>+'Colle 228 183'!J30</f>
        <v>95400</v>
      </c>
      <c r="K197" s="312">
        <f>+'Colle 228 183'!L30</f>
        <v>79750</v>
      </c>
      <c r="L197" s="312">
        <f>+'Colle 228 183'!M30</f>
        <v>79750</v>
      </c>
      <c r="M197" s="312"/>
      <c r="N197" s="255"/>
      <c r="O197" s="278">
        <f>+L197</f>
        <v>79750</v>
      </c>
      <c r="P197" s="255"/>
      <c r="T197" s="124"/>
      <c r="U197"/>
    </row>
    <row r="198" spans="1:21" hidden="1" x14ac:dyDescent="0.2">
      <c r="B198" s="130" t="s">
        <v>771</v>
      </c>
      <c r="C198" s="130"/>
      <c r="D198" s="130"/>
      <c r="E198" s="130"/>
      <c r="F198" s="130"/>
      <c r="G198" s="130"/>
      <c r="H198" s="130"/>
      <c r="I198" s="255"/>
      <c r="J198" s="312"/>
      <c r="K198" s="312"/>
      <c r="L198" s="312"/>
      <c r="M198" s="312"/>
      <c r="N198" s="255"/>
      <c r="O198" s="278"/>
      <c r="P198" s="255"/>
      <c r="T198" s="268">
        <f>+K198</f>
        <v>0</v>
      </c>
      <c r="U198"/>
    </row>
    <row r="199" spans="1:21" hidden="1" x14ac:dyDescent="0.2">
      <c r="B199" s="130" t="s">
        <v>772</v>
      </c>
      <c r="C199" s="130"/>
      <c r="D199" s="130"/>
      <c r="E199" s="130"/>
      <c r="F199" s="130"/>
      <c r="G199" s="130"/>
      <c r="H199" s="130"/>
      <c r="I199" s="255"/>
      <c r="J199" s="312"/>
      <c r="K199" s="312"/>
      <c r="L199" s="312"/>
      <c r="M199" s="312"/>
      <c r="N199" s="255"/>
      <c r="O199" s="278"/>
      <c r="P199" s="255"/>
      <c r="T199" s="268"/>
      <c r="U199"/>
    </row>
    <row r="200" spans="1:21" hidden="1" x14ac:dyDescent="0.2">
      <c r="B200" s="130" t="s">
        <v>774</v>
      </c>
      <c r="C200" s="130"/>
      <c r="D200" s="130"/>
      <c r="E200" s="130"/>
      <c r="F200" s="130"/>
      <c r="G200" s="130"/>
      <c r="H200" s="130"/>
      <c r="I200" s="255"/>
      <c r="J200" s="312"/>
      <c r="K200" s="312"/>
      <c r="L200" s="312"/>
      <c r="M200" s="312"/>
      <c r="N200" s="255"/>
      <c r="O200" s="278"/>
      <c r="P200" s="255"/>
      <c r="T200" s="268"/>
      <c r="U200"/>
    </row>
    <row r="201" spans="1:21" hidden="1" x14ac:dyDescent="0.2">
      <c r="B201" s="130" t="s">
        <v>775</v>
      </c>
      <c r="C201" s="130"/>
      <c r="D201" s="130"/>
      <c r="E201" s="130"/>
      <c r="F201" s="130"/>
      <c r="G201" s="130"/>
      <c r="H201" s="130"/>
      <c r="I201" s="255"/>
      <c r="J201" s="312"/>
      <c r="K201" s="312"/>
      <c r="L201" s="312"/>
      <c r="M201" s="312"/>
      <c r="N201" s="255"/>
      <c r="O201" s="278"/>
      <c r="P201" s="255"/>
      <c r="T201" s="268"/>
      <c r="U201"/>
    </row>
    <row r="202" spans="1:21" hidden="1" x14ac:dyDescent="0.2">
      <c r="A202" s="75"/>
      <c r="B202" s="131" t="s">
        <v>770</v>
      </c>
      <c r="C202" s="131"/>
      <c r="D202" s="131"/>
      <c r="E202" s="131"/>
      <c r="F202" s="131"/>
      <c r="G202" s="131"/>
      <c r="H202" s="131"/>
      <c r="I202" s="277"/>
      <c r="J202" s="278"/>
      <c r="K202" s="278"/>
      <c r="L202" s="312"/>
      <c r="M202" s="312"/>
      <c r="N202" s="255"/>
      <c r="O202" s="315"/>
      <c r="P202" s="255"/>
      <c r="Q202" s="255"/>
      <c r="R202" s="255"/>
      <c r="T202" s="124"/>
      <c r="U202"/>
    </row>
    <row r="203" spans="1:21" hidden="1" x14ac:dyDescent="0.2">
      <c r="B203" s="87" t="s">
        <v>786</v>
      </c>
      <c r="C203" s="131"/>
      <c r="D203" s="131"/>
      <c r="E203" s="131"/>
      <c r="F203" s="131"/>
      <c r="G203" s="131"/>
      <c r="H203" s="131"/>
      <c r="I203" s="277"/>
      <c r="J203" s="75"/>
      <c r="K203" s="75"/>
      <c r="M203" s="75">
        <f>+K203</f>
        <v>0</v>
      </c>
      <c r="O203" s="75"/>
      <c r="T203" s="268"/>
      <c r="U203"/>
    </row>
    <row r="204" spans="1:21" x14ac:dyDescent="0.2">
      <c r="B204" s="87"/>
      <c r="C204" s="131"/>
      <c r="D204" s="131"/>
      <c r="E204" s="131"/>
      <c r="F204" s="131"/>
      <c r="G204" s="131"/>
      <c r="H204" s="131"/>
      <c r="I204" s="277"/>
      <c r="J204" s="75"/>
      <c r="K204" s="75"/>
      <c r="O204" s="75"/>
      <c r="T204" s="268"/>
      <c r="U204"/>
    </row>
    <row r="205" spans="1:21" x14ac:dyDescent="0.2">
      <c r="B205" s="87"/>
      <c r="C205" s="87"/>
      <c r="D205" s="87"/>
      <c r="E205" s="87"/>
      <c r="F205" s="87"/>
      <c r="G205" s="87"/>
      <c r="H205" s="87"/>
      <c r="I205" s="268"/>
      <c r="J205" s="75"/>
      <c r="K205" s="75"/>
      <c r="O205" s="75"/>
      <c r="T205" s="124"/>
      <c r="U205"/>
    </row>
    <row r="206" spans="1:21" x14ac:dyDescent="0.2">
      <c r="A206" s="2"/>
      <c r="B206" t="s">
        <v>469</v>
      </c>
      <c r="I206" s="2">
        <f t="shared" ref="I206:R206" si="30">SUM(I127:I205)</f>
        <v>1420206</v>
      </c>
      <c r="J206" s="2">
        <f t="shared" si="30"/>
        <v>1009120</v>
      </c>
      <c r="K206" s="2">
        <f t="shared" si="30"/>
        <v>1193785</v>
      </c>
      <c r="L206" s="2">
        <f t="shared" si="30"/>
        <v>1118985</v>
      </c>
      <c r="M206" s="2">
        <f t="shared" si="30"/>
        <v>376154</v>
      </c>
      <c r="N206" s="2">
        <f t="shared" si="30"/>
        <v>471260</v>
      </c>
      <c r="O206" s="2">
        <f t="shared" si="30"/>
        <v>96010</v>
      </c>
      <c r="P206" s="2">
        <f t="shared" si="30"/>
        <v>0</v>
      </c>
      <c r="Q206" s="2">
        <f t="shared" si="30"/>
        <v>0</v>
      </c>
      <c r="R206" s="2">
        <f t="shared" si="30"/>
        <v>0</v>
      </c>
      <c r="S206" s="2">
        <f>SUM(S126:S205)</f>
        <v>175561</v>
      </c>
      <c r="T206" s="2">
        <f>SUM(T127:T205)</f>
        <v>4800</v>
      </c>
      <c r="U206"/>
    </row>
    <row r="207" spans="1:21" x14ac:dyDescent="0.2">
      <c r="A207" s="2"/>
      <c r="I207" s="75"/>
      <c r="J207" s="75"/>
      <c r="K207" s="75"/>
      <c r="M207" s="2"/>
      <c r="O207" s="75"/>
    </row>
    <row r="208" spans="1:21" x14ac:dyDescent="0.2">
      <c r="B208" t="s">
        <v>117</v>
      </c>
      <c r="I208" s="75">
        <f>+I123+I206</f>
        <v>23312174.899999999</v>
      </c>
      <c r="J208" s="75">
        <f>+J123+J206</f>
        <v>24615516</v>
      </c>
      <c r="K208" s="75">
        <f>+K123+K206</f>
        <v>26213716</v>
      </c>
      <c r="L208" s="75">
        <f>+L123+L206</f>
        <v>26138916</v>
      </c>
      <c r="M208" s="2">
        <f>+M123+M206</f>
        <v>23113240.210000001</v>
      </c>
      <c r="N208" s="75">
        <f>+N206+N123</f>
        <v>471260</v>
      </c>
      <c r="O208" s="2">
        <f t="shared" ref="O208:T208" si="31">+O123+O206</f>
        <v>96057</v>
      </c>
      <c r="P208" s="2">
        <f t="shared" si="31"/>
        <v>0</v>
      </c>
      <c r="Q208" s="2">
        <f t="shared" si="31"/>
        <v>0</v>
      </c>
      <c r="R208" s="2">
        <f t="shared" si="31"/>
        <v>0</v>
      </c>
      <c r="S208" s="2">
        <f t="shared" si="31"/>
        <v>2404070</v>
      </c>
      <c r="T208" s="2">
        <f t="shared" si="31"/>
        <v>59089</v>
      </c>
    </row>
    <row r="209" spans="1:22" x14ac:dyDescent="0.2">
      <c r="B209" s="2"/>
      <c r="C209" s="2"/>
      <c r="D209" s="2"/>
      <c r="E209" s="2"/>
      <c r="F209" s="2"/>
      <c r="G209" s="2"/>
      <c r="H209" s="2"/>
      <c r="I209" s="2"/>
      <c r="J209" s="75"/>
      <c r="K209" s="75"/>
      <c r="M209" s="2"/>
      <c r="N209" s="75"/>
      <c r="O209" s="75"/>
    </row>
    <row r="210" spans="1:22" x14ac:dyDescent="0.2">
      <c r="A210" s="2"/>
      <c r="B210" s="2"/>
      <c r="C210" s="2"/>
      <c r="D210" s="2"/>
      <c r="E210" s="2"/>
      <c r="F210" s="2"/>
      <c r="G210" s="2"/>
      <c r="H210" s="2"/>
      <c r="I210" s="2"/>
      <c r="J210" s="75"/>
      <c r="K210" s="75"/>
      <c r="M210" s="2"/>
      <c r="O210" s="75"/>
    </row>
    <row r="211" spans="1:22" x14ac:dyDescent="0.2">
      <c r="B211" t="s">
        <v>118</v>
      </c>
      <c r="J211" s="75"/>
      <c r="K211" s="75"/>
      <c r="M211" s="2"/>
      <c r="O211" s="75"/>
    </row>
    <row r="212" spans="1:22" x14ac:dyDescent="0.2">
      <c r="B212" t="s">
        <v>116</v>
      </c>
      <c r="I212" s="75">
        <f t="shared" ref="I212:T212" si="32">+I23</f>
        <v>24541002.5</v>
      </c>
      <c r="J212" s="75">
        <f t="shared" si="32"/>
        <v>24548659</v>
      </c>
      <c r="K212" s="75">
        <f t="shared" si="32"/>
        <v>26144247.300000001</v>
      </c>
      <c r="L212" s="75">
        <f t="shared" si="32"/>
        <v>26144247.300000001</v>
      </c>
      <c r="M212" s="75">
        <f t="shared" si="32"/>
        <v>23113239</v>
      </c>
      <c r="N212" s="75">
        <f t="shared" si="32"/>
        <v>471792</v>
      </c>
      <c r="O212" s="75">
        <f t="shared" si="32"/>
        <v>96057.3</v>
      </c>
      <c r="P212" s="75">
        <f t="shared" si="32"/>
        <v>0</v>
      </c>
      <c r="Q212" s="75">
        <f t="shared" si="32"/>
        <v>0</v>
      </c>
      <c r="R212" s="75">
        <f t="shared" si="32"/>
        <v>0</v>
      </c>
      <c r="S212" s="75">
        <f t="shared" si="32"/>
        <v>2404070</v>
      </c>
      <c r="T212" s="75">
        <f t="shared" si="32"/>
        <v>59089</v>
      </c>
      <c r="V212" s="2"/>
    </row>
    <row r="213" spans="1:22" x14ac:dyDescent="0.2">
      <c r="B213" t="s">
        <v>117</v>
      </c>
      <c r="I213" s="75">
        <f t="shared" ref="I213:J213" si="33">-I208</f>
        <v>-23312174.899999999</v>
      </c>
      <c r="J213" s="75">
        <f t="shared" si="33"/>
        <v>-24615516</v>
      </c>
      <c r="K213" s="75">
        <f t="shared" ref="K213:T213" si="34">-K208</f>
        <v>-26213716</v>
      </c>
      <c r="L213" s="75">
        <f t="shared" si="34"/>
        <v>-26138916</v>
      </c>
      <c r="M213" s="75">
        <f t="shared" si="34"/>
        <v>-23113240.210000001</v>
      </c>
      <c r="N213" s="75">
        <f t="shared" si="34"/>
        <v>-471260</v>
      </c>
      <c r="O213" s="75">
        <f t="shared" si="34"/>
        <v>-96057</v>
      </c>
      <c r="P213" s="75">
        <f t="shared" si="34"/>
        <v>0</v>
      </c>
      <c r="Q213" s="75">
        <f t="shared" si="34"/>
        <v>0</v>
      </c>
      <c r="R213" s="75">
        <f t="shared" si="34"/>
        <v>0</v>
      </c>
      <c r="S213" s="75">
        <f t="shared" si="34"/>
        <v>-2404070</v>
      </c>
      <c r="T213" s="75">
        <f t="shared" si="34"/>
        <v>-59089</v>
      </c>
      <c r="V213" s="2"/>
    </row>
    <row r="214" spans="1:22" x14ac:dyDescent="0.2">
      <c r="B214" s="2"/>
      <c r="C214" s="2"/>
      <c r="D214" s="2"/>
      <c r="E214" s="2"/>
      <c r="F214" s="2"/>
      <c r="G214" s="2"/>
      <c r="H214" s="2"/>
      <c r="I214" s="152"/>
      <c r="J214" s="152"/>
      <c r="K214" s="152"/>
      <c r="L214" s="152"/>
      <c r="M214" s="152"/>
      <c r="N214" s="152"/>
      <c r="O214" s="152"/>
      <c r="P214" s="152"/>
      <c r="Q214" s="152"/>
      <c r="R214" s="152"/>
      <c r="S214" s="152"/>
      <c r="T214" s="152"/>
      <c r="V214" s="2"/>
    </row>
    <row r="215" spans="1:22" ht="13.5" thickBot="1" x14ac:dyDescent="0.25">
      <c r="B215" t="s">
        <v>119</v>
      </c>
      <c r="I215" s="233">
        <f t="shared" ref="I215:J215" si="35">SUM(I212:I214)</f>
        <v>1228827.6000000015</v>
      </c>
      <c r="J215" s="233">
        <f t="shared" si="35"/>
        <v>-66857</v>
      </c>
      <c r="K215" s="233">
        <f t="shared" ref="K215:T215" si="36">SUM(K212:K214)</f>
        <v>-69468.699999999255</v>
      </c>
      <c r="L215" s="233">
        <f t="shared" si="36"/>
        <v>5331.3000000007451</v>
      </c>
      <c r="M215" s="233">
        <f t="shared" si="36"/>
        <v>-1.2100000008940697</v>
      </c>
      <c r="N215" s="233">
        <f t="shared" si="36"/>
        <v>532</v>
      </c>
      <c r="O215" s="233">
        <f t="shared" si="36"/>
        <v>0.30000000000291038</v>
      </c>
      <c r="P215" s="233">
        <f t="shared" si="36"/>
        <v>0</v>
      </c>
      <c r="Q215" s="233">
        <f t="shared" si="36"/>
        <v>0</v>
      </c>
      <c r="R215" s="233">
        <f t="shared" si="36"/>
        <v>0</v>
      </c>
      <c r="S215" s="233">
        <f t="shared" si="36"/>
        <v>0</v>
      </c>
      <c r="T215" s="233">
        <f t="shared" si="36"/>
        <v>0</v>
      </c>
      <c r="V215" s="2"/>
    </row>
    <row r="216" spans="1:22" ht="13.5" thickTop="1" x14ac:dyDescent="0.2">
      <c r="A216" s="2"/>
      <c r="M216" s="375"/>
      <c r="V216" s="2"/>
    </row>
    <row r="217" spans="1:22" s="130" customFormat="1" x14ac:dyDescent="0.2">
      <c r="B217" s="367"/>
      <c r="C217" s="367"/>
      <c r="D217" s="367"/>
      <c r="E217" s="367"/>
      <c r="F217" s="367"/>
      <c r="G217" s="367"/>
      <c r="H217" s="367"/>
      <c r="I217" s="367"/>
      <c r="J217" s="367"/>
      <c r="K217" s="242"/>
      <c r="L217" s="278"/>
      <c r="M217" s="278"/>
      <c r="N217" s="409"/>
      <c r="O217" s="255"/>
      <c r="P217" s="255"/>
      <c r="Q217" s="255"/>
      <c r="R217" s="255"/>
      <c r="S217" s="255"/>
      <c r="T217" s="255"/>
      <c r="U217" s="278"/>
    </row>
    <row r="218" spans="1:22" s="130" customFormat="1" x14ac:dyDescent="0.2">
      <c r="A218" s="148"/>
      <c r="B218" s="376"/>
      <c r="C218" s="376"/>
      <c r="D218" s="376"/>
      <c r="E218" s="376"/>
      <c r="F218" s="376"/>
      <c r="G218" s="376"/>
      <c r="H218" s="376"/>
      <c r="I218" s="376"/>
      <c r="J218" s="376"/>
      <c r="K218" s="242"/>
      <c r="L218" s="278"/>
      <c r="M218" s="311"/>
      <c r="N218" s="255"/>
      <c r="O218" s="255"/>
      <c r="P218" s="255"/>
      <c r="Q218" s="255"/>
      <c r="R218" s="255"/>
      <c r="S218" s="255"/>
      <c r="T218" s="255"/>
      <c r="U218" s="278"/>
    </row>
    <row r="219" spans="1:22" s="130" customFormat="1" x14ac:dyDescent="0.2">
      <c r="A219" s="761"/>
      <c r="B219" s="376"/>
      <c r="C219" s="762"/>
      <c r="D219" s="762"/>
      <c r="E219" s="762"/>
      <c r="F219" s="762"/>
      <c r="G219" s="762"/>
      <c r="H219" s="762"/>
      <c r="I219" s="762"/>
      <c r="J219" s="762"/>
      <c r="K219" s="242"/>
      <c r="L219" s="278"/>
      <c r="M219" s="311"/>
      <c r="N219" s="409"/>
      <c r="O219" s="255"/>
      <c r="P219" s="255"/>
      <c r="Q219" s="255"/>
      <c r="R219" s="255"/>
      <c r="S219" s="255"/>
      <c r="T219" s="255"/>
      <c r="U219" s="278"/>
    </row>
    <row r="220" spans="1:22" s="130" customFormat="1" x14ac:dyDescent="0.2">
      <c r="A220" s="148"/>
      <c r="B220" s="376"/>
      <c r="C220" s="762"/>
      <c r="D220" s="762"/>
      <c r="E220" s="762"/>
      <c r="F220" s="762"/>
      <c r="G220" s="762"/>
      <c r="H220" s="762"/>
      <c r="I220" s="762"/>
      <c r="J220" s="762"/>
      <c r="K220" s="242"/>
      <c r="L220" s="278"/>
      <c r="M220" s="311"/>
      <c r="N220" s="409"/>
      <c r="O220" s="255"/>
      <c r="P220" s="255"/>
      <c r="Q220" s="255"/>
      <c r="R220" s="255"/>
      <c r="S220" s="255"/>
      <c r="T220" s="255"/>
      <c r="U220" s="278"/>
    </row>
    <row r="221" spans="1:22" s="130" customFormat="1" x14ac:dyDescent="0.2">
      <c r="A221" s="148"/>
      <c r="B221" s="376"/>
      <c r="C221" s="762"/>
      <c r="D221" s="762"/>
      <c r="E221" s="762"/>
      <c r="F221" s="762"/>
      <c r="G221" s="762"/>
      <c r="H221" s="762"/>
      <c r="I221" s="762"/>
      <c r="J221" s="762"/>
      <c r="K221" s="242"/>
      <c r="L221" s="278"/>
      <c r="M221" s="311"/>
      <c r="N221" s="409"/>
      <c r="O221" s="255"/>
      <c r="P221" s="255"/>
      <c r="Q221" s="255"/>
      <c r="R221" s="255"/>
      <c r="S221" s="255"/>
      <c r="T221" s="255"/>
      <c r="U221" s="278"/>
    </row>
    <row r="222" spans="1:22" s="130" customFormat="1" x14ac:dyDescent="0.2">
      <c r="A222" s="148"/>
      <c r="B222" s="376"/>
      <c r="C222" s="762"/>
      <c r="D222" s="762"/>
      <c r="E222" s="762"/>
      <c r="F222" s="762"/>
      <c r="G222" s="762"/>
      <c r="H222" s="762"/>
      <c r="I222" s="762"/>
      <c r="J222" s="762"/>
      <c r="K222" s="242"/>
      <c r="L222" s="278"/>
      <c r="M222" s="311"/>
      <c r="N222" s="409"/>
      <c r="O222" s="255"/>
      <c r="P222" s="255"/>
      <c r="Q222" s="255"/>
      <c r="R222" s="255"/>
      <c r="S222" s="255"/>
      <c r="T222" s="255"/>
      <c r="U222" s="278"/>
    </row>
    <row r="223" spans="1:22" s="130" customFormat="1" x14ac:dyDescent="0.2">
      <c r="A223" s="148"/>
      <c r="B223" s="376"/>
      <c r="C223" s="376"/>
      <c r="D223" s="376"/>
      <c r="E223" s="376"/>
      <c r="F223" s="376"/>
      <c r="G223" s="376"/>
      <c r="H223" s="376"/>
      <c r="I223" s="376"/>
      <c r="J223" s="376"/>
      <c r="K223" s="242"/>
      <c r="L223" s="278"/>
      <c r="M223" s="278"/>
      <c r="N223" s="409"/>
      <c r="O223" s="255"/>
      <c r="P223" s="255"/>
      <c r="Q223" s="255"/>
      <c r="R223" s="255"/>
      <c r="S223" s="255"/>
      <c r="T223" s="255"/>
      <c r="U223" s="278"/>
    </row>
    <row r="224" spans="1:22" s="130" customFormat="1" x14ac:dyDescent="0.2">
      <c r="A224" s="148"/>
      <c r="B224" s="376"/>
      <c r="C224" s="376"/>
      <c r="D224" s="376"/>
      <c r="E224" s="376"/>
      <c r="F224" s="376"/>
      <c r="G224" s="376"/>
      <c r="H224" s="376"/>
      <c r="I224" s="376"/>
      <c r="J224" s="376"/>
      <c r="K224" s="242"/>
      <c r="L224" s="278"/>
      <c r="M224" s="278"/>
      <c r="N224" s="409"/>
      <c r="O224" s="255"/>
      <c r="P224" s="255"/>
      <c r="Q224" s="255"/>
      <c r="R224" s="255"/>
      <c r="S224" s="255"/>
      <c r="T224" s="255"/>
      <c r="U224" s="278"/>
    </row>
    <row r="225" spans="1:21" s="130" customFormat="1" x14ac:dyDescent="0.2">
      <c r="A225" s="148"/>
      <c r="B225" s="376"/>
      <c r="C225" s="376"/>
      <c r="D225" s="376"/>
      <c r="E225" s="376"/>
      <c r="F225" s="376"/>
      <c r="G225" s="376"/>
      <c r="H225" s="376"/>
      <c r="I225" s="376"/>
      <c r="J225" s="376"/>
      <c r="K225" s="242"/>
      <c r="L225" s="278"/>
      <c r="M225" s="378"/>
      <c r="N225" s="409"/>
      <c r="O225" s="255"/>
      <c r="P225" s="255"/>
      <c r="Q225" s="255"/>
      <c r="R225" s="255"/>
      <c r="S225" s="255"/>
      <c r="T225" s="255"/>
      <c r="U225" s="278"/>
    </row>
    <row r="226" spans="1:21" s="130" customFormat="1" x14ac:dyDescent="0.2">
      <c r="A226" s="148"/>
      <c r="B226" s="376"/>
      <c r="C226" s="376"/>
      <c r="D226" s="376"/>
      <c r="E226" s="376"/>
      <c r="F226" s="376"/>
      <c r="G226" s="376"/>
      <c r="H226" s="376"/>
      <c r="I226" s="376"/>
      <c r="J226" s="376"/>
      <c r="K226" s="242"/>
      <c r="L226" s="278"/>
      <c r="M226" s="378"/>
      <c r="N226" s="409"/>
      <c r="O226" s="255"/>
      <c r="P226" s="255"/>
      <c r="Q226" s="255"/>
      <c r="R226" s="255"/>
      <c r="S226" s="255"/>
      <c r="T226" s="255"/>
      <c r="U226" s="278"/>
    </row>
    <row r="227" spans="1:21" s="130" customFormat="1" x14ac:dyDescent="0.2">
      <c r="A227" s="148"/>
      <c r="B227" s="376"/>
      <c r="C227" s="376"/>
      <c r="D227" s="376"/>
      <c r="E227" s="376"/>
      <c r="F227" s="376"/>
      <c r="G227" s="376"/>
      <c r="H227" s="376"/>
      <c r="I227" s="376"/>
      <c r="J227" s="376"/>
      <c r="K227" s="242"/>
      <c r="L227" s="278"/>
      <c r="M227" s="278"/>
      <c r="N227" s="409"/>
      <c r="O227" s="255"/>
      <c r="P227" s="255"/>
      <c r="Q227" s="255"/>
      <c r="R227" s="255"/>
      <c r="S227" s="255"/>
      <c r="T227" s="255"/>
      <c r="U227" s="278"/>
    </row>
    <row r="228" spans="1:21" s="130" customFormat="1" x14ac:dyDescent="0.2">
      <c r="A228" s="148"/>
      <c r="B228" s="376"/>
      <c r="C228" s="376"/>
      <c r="D228" s="376"/>
      <c r="E228" s="376"/>
      <c r="F228" s="376"/>
      <c r="G228" s="376"/>
      <c r="H228" s="376"/>
      <c r="I228" s="376"/>
      <c r="J228" s="376"/>
      <c r="K228" s="242"/>
      <c r="L228" s="278"/>
      <c r="M228" s="312"/>
      <c r="N228" s="409"/>
      <c r="O228" s="255"/>
      <c r="P228" s="255"/>
      <c r="Q228" s="255"/>
      <c r="R228" s="255"/>
      <c r="S228" s="255"/>
      <c r="T228" s="255"/>
      <c r="U228" s="278"/>
    </row>
    <row r="229" spans="1:21" s="130" customFormat="1" x14ac:dyDescent="0.2">
      <c r="A229" s="148"/>
      <c r="B229" s="376"/>
      <c r="C229" s="376"/>
      <c r="D229" s="376"/>
      <c r="E229" s="376"/>
      <c r="F229" s="376"/>
      <c r="G229" s="376"/>
      <c r="H229" s="376"/>
      <c r="I229" s="376"/>
      <c r="J229" s="376"/>
      <c r="K229" s="242"/>
      <c r="L229" s="278"/>
      <c r="M229" s="312"/>
      <c r="N229" s="409"/>
      <c r="O229" s="255"/>
      <c r="P229" s="255"/>
      <c r="Q229" s="255"/>
      <c r="R229" s="255"/>
      <c r="S229" s="255"/>
      <c r="T229" s="255"/>
      <c r="U229" s="278"/>
    </row>
    <row r="230" spans="1:21" s="130" customFormat="1" x14ac:dyDescent="0.2">
      <c r="A230" s="148"/>
      <c r="B230" s="376"/>
      <c r="C230" s="376"/>
      <c r="D230" s="376"/>
      <c r="E230" s="376"/>
      <c r="F230" s="376"/>
      <c r="G230" s="376"/>
      <c r="H230" s="376"/>
      <c r="I230" s="376"/>
      <c r="J230" s="376"/>
      <c r="K230" s="242"/>
      <c r="L230" s="278"/>
      <c r="M230" s="278"/>
      <c r="N230" s="409"/>
      <c r="O230" s="255"/>
      <c r="P230" s="255"/>
      <c r="Q230" s="255"/>
      <c r="R230" s="255"/>
      <c r="S230" s="255"/>
      <c r="T230" s="255"/>
      <c r="U230" s="278"/>
    </row>
    <row r="231" spans="1:21" s="130" customFormat="1" x14ac:dyDescent="0.2">
      <c r="A231" s="148"/>
      <c r="B231" s="376"/>
      <c r="C231" s="376"/>
      <c r="D231" s="376"/>
      <c r="E231" s="376"/>
      <c r="F231" s="376"/>
      <c r="G231" s="376"/>
      <c r="H231" s="376"/>
      <c r="I231" s="376"/>
      <c r="J231" s="376"/>
      <c r="K231" s="242"/>
      <c r="L231" s="278"/>
      <c r="M231" s="278"/>
      <c r="N231" s="409"/>
      <c r="O231" s="255"/>
      <c r="P231" s="255"/>
      <c r="Q231" s="255"/>
      <c r="R231" s="255"/>
      <c r="S231" s="255"/>
      <c r="T231" s="255"/>
      <c r="U231" s="278"/>
    </row>
    <row r="232" spans="1:21" s="148" customFormat="1" ht="12.6" customHeight="1" x14ac:dyDescent="0.2">
      <c r="B232" s="376"/>
      <c r="K232" s="242"/>
      <c r="L232" s="468"/>
      <c r="M232" s="468"/>
      <c r="N232" s="408"/>
      <c r="O232" s="242"/>
      <c r="P232" s="242"/>
      <c r="Q232" s="242"/>
      <c r="R232" s="242"/>
      <c r="S232" s="242"/>
      <c r="T232" s="242"/>
      <c r="U232" s="468"/>
    </row>
    <row r="233" spans="1:21" s="148" customFormat="1" ht="12.6" customHeight="1" x14ac:dyDescent="0.2">
      <c r="B233" s="376"/>
      <c r="C233" s="376"/>
      <c r="D233" s="376"/>
      <c r="E233" s="376"/>
      <c r="F233" s="376"/>
      <c r="G233" s="376"/>
      <c r="H233" s="376"/>
      <c r="I233" s="376"/>
      <c r="J233" s="376"/>
      <c r="K233" s="242"/>
      <c r="L233" s="468"/>
      <c r="M233" s="468"/>
      <c r="N233" s="408"/>
      <c r="O233" s="242"/>
      <c r="P233" s="242"/>
      <c r="Q233" s="242"/>
      <c r="R233" s="242"/>
      <c r="S233" s="242"/>
      <c r="T233" s="242"/>
      <c r="U233" s="468"/>
    </row>
    <row r="234" spans="1:21" s="148" customFormat="1" ht="12.6" customHeight="1" x14ac:dyDescent="0.2">
      <c r="B234" s="376"/>
      <c r="I234" s="242"/>
      <c r="J234" s="242"/>
      <c r="K234" s="242"/>
      <c r="L234" s="468"/>
      <c r="M234" s="469"/>
      <c r="N234" s="408"/>
      <c r="O234" s="242"/>
      <c r="P234" s="242"/>
      <c r="Q234" s="242"/>
      <c r="R234" s="242"/>
      <c r="S234" s="242"/>
      <c r="T234" s="242"/>
      <c r="U234" s="468"/>
    </row>
    <row r="235" spans="1:21" s="148" customFormat="1" ht="12.6" customHeight="1" x14ac:dyDescent="0.2">
      <c r="K235" s="242"/>
      <c r="L235" s="468"/>
      <c r="M235" s="469"/>
      <c r="N235" s="408"/>
      <c r="O235" s="242"/>
      <c r="P235" s="242"/>
      <c r="Q235" s="242"/>
      <c r="R235" s="242"/>
      <c r="S235" s="242"/>
      <c r="T235" s="242"/>
      <c r="U235" s="468"/>
    </row>
    <row r="236" spans="1:21" s="148" customFormat="1" ht="12.6" customHeight="1" x14ac:dyDescent="0.2">
      <c r="K236" s="242"/>
      <c r="L236" s="468"/>
      <c r="M236" s="469"/>
      <c r="N236" s="408"/>
      <c r="O236" s="242"/>
      <c r="P236" s="242"/>
      <c r="Q236" s="242"/>
      <c r="R236" s="242"/>
      <c r="S236" s="242"/>
      <c r="T236" s="242"/>
      <c r="U236" s="468"/>
    </row>
    <row r="237" spans="1:21" s="148" customFormat="1" ht="12.6" customHeight="1" x14ac:dyDescent="0.2">
      <c r="K237" s="242"/>
      <c r="L237" s="468"/>
      <c r="M237" s="469"/>
      <c r="N237" s="408"/>
      <c r="O237" s="242"/>
      <c r="P237" s="242"/>
      <c r="Q237" s="242"/>
      <c r="R237" s="242"/>
      <c r="S237" s="242"/>
      <c r="T237" s="242"/>
      <c r="U237" s="468"/>
    </row>
    <row r="238" spans="1:21" s="148" customFormat="1" ht="12.6" customHeight="1" x14ac:dyDescent="0.2">
      <c r="K238" s="242"/>
      <c r="L238" s="468"/>
      <c r="M238" s="468"/>
      <c r="N238" s="408"/>
      <c r="O238" s="242"/>
      <c r="P238" s="242"/>
      <c r="Q238" s="242"/>
      <c r="R238" s="242"/>
      <c r="S238" s="242"/>
      <c r="T238" s="242"/>
      <c r="U238" s="468"/>
    </row>
    <row r="239" spans="1:21" s="130" customFormat="1" x14ac:dyDescent="0.2">
      <c r="K239" s="255"/>
      <c r="L239" s="278"/>
      <c r="M239" s="278"/>
      <c r="N239" s="255"/>
      <c r="O239" s="255"/>
      <c r="P239" s="255"/>
      <c r="Q239" s="255"/>
      <c r="R239" s="255"/>
      <c r="S239" s="255"/>
      <c r="T239" s="255"/>
      <c r="U239" s="278"/>
    </row>
    <row r="240" spans="1:21" s="130" customFormat="1" x14ac:dyDescent="0.2">
      <c r="K240" s="255"/>
      <c r="L240" s="278"/>
      <c r="M240" s="278"/>
      <c r="N240" s="255"/>
      <c r="O240" s="255"/>
      <c r="P240" s="255"/>
      <c r="Q240" s="255"/>
      <c r="R240" s="255"/>
      <c r="S240" s="255"/>
      <c r="T240" s="255"/>
      <c r="U240" s="278"/>
    </row>
    <row r="241" spans="2:21" s="130" customFormat="1" x14ac:dyDescent="0.2">
      <c r="K241" s="255"/>
      <c r="L241" s="278"/>
      <c r="M241" s="311"/>
      <c r="N241" s="409"/>
      <c r="O241" s="255"/>
      <c r="P241" s="255"/>
      <c r="Q241" s="255"/>
      <c r="R241" s="255"/>
      <c r="S241" s="255"/>
      <c r="T241" s="255"/>
      <c r="U241" s="278"/>
    </row>
    <row r="242" spans="2:21" s="130" customFormat="1" x14ac:dyDescent="0.2">
      <c r="K242" s="255"/>
      <c r="L242" s="278"/>
      <c r="M242" s="311"/>
      <c r="N242" s="409"/>
      <c r="O242" s="255"/>
      <c r="P242" s="255"/>
      <c r="Q242" s="255"/>
      <c r="R242" s="255"/>
      <c r="S242" s="255"/>
      <c r="T242" s="255"/>
      <c r="U242" s="278"/>
    </row>
    <row r="243" spans="2:21" s="130" customFormat="1" x14ac:dyDescent="0.2">
      <c r="K243" s="255"/>
      <c r="L243" s="278"/>
      <c r="M243" s="311"/>
      <c r="N243" s="409"/>
      <c r="O243" s="255"/>
      <c r="P243" s="255"/>
      <c r="Q243" s="255"/>
      <c r="R243" s="255"/>
      <c r="S243" s="255"/>
      <c r="T243" s="255"/>
      <c r="U243" s="278"/>
    </row>
    <row r="244" spans="2:21" s="130" customFormat="1" x14ac:dyDescent="0.2">
      <c r="B244" s="367"/>
      <c r="C244" s="367"/>
      <c r="D244" s="367"/>
      <c r="E244" s="367"/>
      <c r="F244" s="367"/>
      <c r="G244" s="367"/>
      <c r="H244" s="367"/>
      <c r="I244" s="367"/>
      <c r="J244" s="367"/>
      <c r="K244" s="255"/>
      <c r="L244" s="278"/>
      <c r="M244" s="311"/>
      <c r="N244" s="409"/>
      <c r="O244" s="255"/>
      <c r="P244" s="255"/>
      <c r="Q244" s="255"/>
      <c r="R244" s="255"/>
      <c r="S244" s="255"/>
      <c r="T244" s="255"/>
      <c r="U244" s="278"/>
    </row>
    <row r="245" spans="2:21" s="130" customFormat="1" x14ac:dyDescent="0.2">
      <c r="B245" s="367"/>
      <c r="C245" s="367"/>
      <c r="D245" s="367"/>
      <c r="E245" s="367"/>
      <c r="F245" s="367"/>
      <c r="G245" s="367"/>
      <c r="H245" s="367"/>
      <c r="I245" s="367"/>
      <c r="J245" s="367"/>
      <c r="K245" s="255"/>
      <c r="L245" s="278"/>
      <c r="M245" s="312"/>
      <c r="N245" s="409"/>
      <c r="O245" s="255"/>
      <c r="P245" s="255"/>
      <c r="Q245" s="255"/>
      <c r="R245" s="255"/>
      <c r="S245" s="255"/>
      <c r="T245" s="255"/>
      <c r="U245" s="278"/>
    </row>
    <row r="246" spans="2:21" s="130" customFormat="1" x14ac:dyDescent="0.2">
      <c r="B246" s="434"/>
      <c r="C246" s="434"/>
      <c r="D246" s="434"/>
      <c r="E246" s="434"/>
      <c r="F246" s="434"/>
      <c r="G246" s="434"/>
      <c r="H246" s="434"/>
      <c r="I246" s="434"/>
      <c r="J246" s="434"/>
      <c r="K246" s="255"/>
      <c r="L246" s="278"/>
      <c r="M246" s="278"/>
      <c r="N246" s="255"/>
      <c r="O246" s="255"/>
      <c r="P246" s="255"/>
      <c r="Q246" s="255"/>
      <c r="R246" s="255"/>
      <c r="S246" s="255"/>
      <c r="T246" s="255"/>
      <c r="U246" s="278"/>
    </row>
    <row r="247" spans="2:21" s="130" customFormat="1" x14ac:dyDescent="0.2">
      <c r="B247" s="367"/>
      <c r="C247" s="367"/>
      <c r="D247" s="367"/>
      <c r="E247" s="367"/>
      <c r="F247" s="367"/>
      <c r="G247" s="367"/>
      <c r="H247" s="367"/>
      <c r="I247" s="367"/>
      <c r="J247" s="367"/>
      <c r="K247" s="255"/>
      <c r="L247" s="278"/>
      <c r="M247" s="278"/>
      <c r="N247" s="255"/>
      <c r="O247" s="255"/>
      <c r="P247" s="255"/>
      <c r="Q247" s="255"/>
      <c r="R247" s="255"/>
      <c r="S247" s="255"/>
      <c r="T247" s="255"/>
      <c r="U247" s="278"/>
    </row>
    <row r="248" spans="2:21" s="130" customFormat="1" x14ac:dyDescent="0.2">
      <c r="B248" s="367"/>
      <c r="C248" s="367"/>
      <c r="D248" s="367"/>
      <c r="E248" s="367"/>
      <c r="F248" s="367"/>
      <c r="G248" s="367"/>
      <c r="H248" s="367"/>
      <c r="I248" s="367"/>
      <c r="J248" s="367"/>
      <c r="K248" s="255"/>
      <c r="L248" s="278"/>
      <c r="M248" s="278"/>
      <c r="N248" s="255"/>
      <c r="O248" s="255"/>
      <c r="P248" s="255"/>
      <c r="Q248" s="255"/>
      <c r="R248" s="255"/>
      <c r="S248" s="255"/>
      <c r="T248" s="255"/>
      <c r="U248" s="278"/>
    </row>
    <row r="249" spans="2:21" s="130" customFormat="1" x14ac:dyDescent="0.2">
      <c r="B249" s="367"/>
      <c r="C249" s="367"/>
      <c r="D249" s="367"/>
      <c r="E249" s="367"/>
      <c r="F249" s="367"/>
      <c r="G249" s="367"/>
      <c r="H249" s="367"/>
      <c r="I249" s="367"/>
      <c r="J249" s="367"/>
      <c r="K249" s="255"/>
      <c r="L249" s="278"/>
      <c r="M249" s="278"/>
      <c r="N249" s="255"/>
      <c r="O249" s="255"/>
      <c r="P249" s="255"/>
      <c r="Q249" s="255"/>
      <c r="R249" s="255"/>
      <c r="S249" s="255"/>
      <c r="T249" s="255"/>
      <c r="U249" s="278"/>
    </row>
    <row r="250" spans="2:21" s="130" customFormat="1" x14ac:dyDescent="0.2">
      <c r="B250" s="367"/>
      <c r="C250" s="367"/>
      <c r="D250" s="367"/>
      <c r="E250" s="367"/>
      <c r="F250" s="367"/>
      <c r="G250" s="367"/>
      <c r="H250" s="367"/>
      <c r="I250" s="367"/>
      <c r="J250" s="367"/>
      <c r="K250" s="255"/>
      <c r="L250" s="278"/>
      <c r="M250" s="278"/>
      <c r="N250" s="255"/>
      <c r="O250" s="255"/>
      <c r="P250" s="255"/>
      <c r="Q250" s="255"/>
      <c r="R250" s="255"/>
      <c r="S250" s="255"/>
      <c r="T250" s="255"/>
      <c r="U250" s="278"/>
    </row>
    <row r="251" spans="2:21" s="130" customFormat="1" x14ac:dyDescent="0.2">
      <c r="B251" s="367"/>
      <c r="C251" s="367"/>
      <c r="D251" s="367"/>
      <c r="E251" s="367"/>
      <c r="F251" s="367"/>
      <c r="G251" s="367"/>
      <c r="H251" s="367"/>
      <c r="I251" s="367"/>
      <c r="J251" s="367"/>
      <c r="K251" s="255"/>
      <c r="L251" s="278"/>
      <c r="M251" s="278"/>
      <c r="N251" s="255"/>
      <c r="O251" s="255"/>
      <c r="P251" s="255"/>
      <c r="Q251" s="255"/>
      <c r="R251" s="255"/>
      <c r="S251" s="255"/>
      <c r="T251" s="255"/>
      <c r="U251" s="278"/>
    </row>
    <row r="252" spans="2:21" s="130" customFormat="1" x14ac:dyDescent="0.2">
      <c r="B252" s="367"/>
      <c r="C252" s="367"/>
      <c r="D252" s="367"/>
      <c r="E252" s="367"/>
      <c r="F252" s="367"/>
      <c r="G252" s="367"/>
      <c r="H252" s="367"/>
      <c r="I252" s="367"/>
      <c r="J252" s="367"/>
      <c r="K252" s="255"/>
      <c r="L252" s="278"/>
      <c r="M252" s="278"/>
      <c r="N252" s="255"/>
      <c r="O252" s="255"/>
      <c r="P252" s="255"/>
      <c r="Q252" s="255"/>
      <c r="R252" s="255"/>
      <c r="S252" s="255"/>
      <c r="T252" s="255"/>
      <c r="U252" s="278"/>
    </row>
    <row r="253" spans="2:21" s="130" customFormat="1" x14ac:dyDescent="0.2">
      <c r="K253" s="255"/>
      <c r="L253" s="278"/>
      <c r="M253" s="278"/>
      <c r="N253" s="255"/>
      <c r="O253" s="255"/>
      <c r="P253" s="255"/>
      <c r="Q253" s="255"/>
      <c r="R253" s="255"/>
      <c r="S253" s="255"/>
      <c r="T253" s="255"/>
      <c r="U253" s="278"/>
    </row>
    <row r="254" spans="2:21" s="130" customFormat="1" x14ac:dyDescent="0.2">
      <c r="K254" s="255"/>
      <c r="L254" s="278"/>
      <c r="M254" s="278"/>
      <c r="N254" s="255"/>
      <c r="O254" s="255"/>
      <c r="P254" s="255"/>
      <c r="Q254" s="255"/>
      <c r="R254" s="255"/>
      <c r="S254" s="255"/>
      <c r="T254" s="255"/>
      <c r="U254" s="278"/>
    </row>
    <row r="255" spans="2:21" s="130" customFormat="1" x14ac:dyDescent="0.2">
      <c r="K255" s="255"/>
      <c r="L255" s="278"/>
      <c r="M255" s="278"/>
      <c r="N255" s="255"/>
      <c r="O255" s="255"/>
      <c r="P255" s="255"/>
      <c r="Q255" s="255"/>
      <c r="R255" s="255"/>
      <c r="S255" s="255"/>
      <c r="T255" s="255"/>
      <c r="U255" s="278"/>
    </row>
    <row r="256" spans="2:21" s="130" customFormat="1" x14ac:dyDescent="0.2">
      <c r="K256" s="255"/>
      <c r="L256" s="278"/>
      <c r="M256" s="278"/>
      <c r="N256" s="255"/>
      <c r="O256" s="255"/>
      <c r="P256" s="255"/>
      <c r="Q256" s="255"/>
      <c r="R256" s="255"/>
      <c r="S256" s="255"/>
      <c r="T256" s="255"/>
      <c r="U256" s="278"/>
    </row>
    <row r="257" spans="11:21" s="130" customFormat="1" x14ac:dyDescent="0.2">
      <c r="K257" s="255"/>
      <c r="L257" s="278"/>
      <c r="M257" s="278"/>
      <c r="N257" s="255"/>
      <c r="O257" s="255"/>
      <c r="P257" s="255"/>
      <c r="Q257" s="255"/>
      <c r="R257" s="255"/>
      <c r="S257" s="255"/>
      <c r="T257" s="255"/>
      <c r="U257" s="278"/>
    </row>
    <row r="258" spans="11:21" s="130" customFormat="1" x14ac:dyDescent="0.2">
      <c r="K258" s="255"/>
      <c r="L258" s="278"/>
      <c r="M258" s="278"/>
      <c r="N258" s="255"/>
      <c r="O258" s="255"/>
      <c r="P258" s="255"/>
      <c r="Q258" s="255"/>
      <c r="R258" s="255"/>
      <c r="S258" s="255"/>
      <c r="T258" s="255"/>
      <c r="U258" s="278"/>
    </row>
    <row r="259" spans="11:21" s="130" customFormat="1" x14ac:dyDescent="0.2">
      <c r="K259" s="255"/>
      <c r="L259" s="278"/>
      <c r="M259" s="278"/>
      <c r="N259" s="255"/>
      <c r="O259" s="255"/>
      <c r="P259" s="255"/>
      <c r="Q259" s="255"/>
      <c r="R259" s="255"/>
      <c r="S259" s="255"/>
      <c r="T259" s="255"/>
      <c r="U259" s="278"/>
    </row>
    <row r="260" spans="11:21" s="130" customFormat="1" x14ac:dyDescent="0.2">
      <c r="K260" s="255"/>
      <c r="L260" s="278"/>
      <c r="M260" s="278"/>
      <c r="N260" s="255"/>
      <c r="O260" s="255"/>
      <c r="P260" s="255"/>
      <c r="Q260" s="255"/>
      <c r="R260" s="255"/>
      <c r="S260" s="255"/>
      <c r="T260" s="255"/>
      <c r="U260" s="278"/>
    </row>
    <row r="261" spans="11:21" s="130" customFormat="1" x14ac:dyDescent="0.2">
      <c r="K261" s="255"/>
      <c r="L261" s="278"/>
      <c r="M261" s="278"/>
      <c r="N261" s="255"/>
      <c r="O261" s="255"/>
      <c r="P261" s="255"/>
      <c r="Q261" s="255"/>
      <c r="R261" s="255"/>
      <c r="S261" s="255"/>
      <c r="T261" s="255"/>
      <c r="U261" s="278"/>
    </row>
    <row r="262" spans="11:21" s="130" customFormat="1" x14ac:dyDescent="0.2">
      <c r="K262" s="255"/>
      <c r="L262" s="278"/>
      <c r="M262" s="278"/>
      <c r="N262" s="255"/>
      <c r="O262" s="255"/>
      <c r="P262" s="255"/>
      <c r="Q262" s="255"/>
      <c r="R262" s="255"/>
      <c r="S262" s="255"/>
      <c r="T262" s="255"/>
      <c r="U262" s="278"/>
    </row>
    <row r="263" spans="11:21" s="130" customFormat="1" x14ac:dyDescent="0.2">
      <c r="K263" s="255"/>
      <c r="L263" s="278"/>
      <c r="M263" s="278"/>
      <c r="N263" s="255"/>
      <c r="O263" s="255"/>
      <c r="P263" s="255"/>
      <c r="Q263" s="255"/>
      <c r="R263" s="255"/>
      <c r="S263" s="255"/>
      <c r="T263" s="255"/>
      <c r="U263" s="278"/>
    </row>
    <row r="264" spans="11:21" s="130" customFormat="1" x14ac:dyDescent="0.2">
      <c r="K264" s="255"/>
      <c r="L264" s="278"/>
      <c r="M264" s="278"/>
      <c r="N264" s="255"/>
      <c r="O264" s="255"/>
      <c r="P264" s="255"/>
      <c r="Q264" s="255"/>
      <c r="R264" s="255"/>
      <c r="S264" s="255"/>
      <c r="T264" s="255"/>
      <c r="U264" s="278"/>
    </row>
    <row r="265" spans="11:21" s="130" customFormat="1" x14ac:dyDescent="0.2">
      <c r="K265" s="255"/>
      <c r="L265" s="278"/>
      <c r="M265" s="278"/>
      <c r="N265" s="255"/>
      <c r="O265" s="255"/>
      <c r="P265" s="255"/>
      <c r="Q265" s="255"/>
      <c r="R265" s="255"/>
      <c r="S265" s="255"/>
      <c r="T265" s="255"/>
      <c r="U265" s="278"/>
    </row>
    <row r="266" spans="11:21" s="130" customFormat="1" x14ac:dyDescent="0.2">
      <c r="K266" s="255"/>
      <c r="L266" s="278"/>
      <c r="M266" s="278"/>
      <c r="N266" s="255"/>
      <c r="O266" s="255"/>
      <c r="P266" s="255"/>
      <c r="Q266" s="255"/>
      <c r="R266" s="255"/>
      <c r="S266" s="255"/>
      <c r="T266" s="255"/>
      <c r="U266" s="278"/>
    </row>
    <row r="267" spans="11:21" s="130" customFormat="1" x14ac:dyDescent="0.2">
      <c r="K267" s="255"/>
      <c r="L267" s="278"/>
      <c r="M267" s="278"/>
      <c r="N267" s="255"/>
      <c r="O267" s="255"/>
      <c r="P267" s="255"/>
      <c r="Q267" s="255"/>
      <c r="R267" s="255"/>
      <c r="S267" s="255"/>
      <c r="T267" s="255"/>
      <c r="U267" s="278"/>
    </row>
    <row r="268" spans="11:21" s="130" customFormat="1" x14ac:dyDescent="0.2">
      <c r="K268" s="255"/>
      <c r="L268" s="278"/>
      <c r="M268" s="278"/>
      <c r="N268" s="255"/>
      <c r="O268" s="255"/>
      <c r="P268" s="255"/>
      <c r="Q268" s="255"/>
      <c r="R268" s="255"/>
      <c r="S268" s="255"/>
      <c r="T268" s="255"/>
      <c r="U268" s="278"/>
    </row>
    <row r="269" spans="11:21" s="130" customFormat="1" x14ac:dyDescent="0.2">
      <c r="K269" s="255"/>
      <c r="L269" s="278"/>
      <c r="M269" s="278"/>
      <c r="N269" s="255"/>
      <c r="O269" s="255"/>
      <c r="P269" s="255"/>
      <c r="Q269" s="255"/>
      <c r="R269" s="255"/>
      <c r="S269" s="255"/>
      <c r="T269" s="255"/>
      <c r="U269" s="278"/>
    </row>
    <row r="270" spans="11:21" s="130" customFormat="1" x14ac:dyDescent="0.2">
      <c r="K270" s="255"/>
      <c r="L270" s="278"/>
      <c r="M270" s="278"/>
      <c r="N270" s="255"/>
      <c r="O270" s="255"/>
      <c r="P270" s="255"/>
      <c r="Q270" s="255"/>
      <c r="R270" s="255"/>
      <c r="S270" s="255"/>
      <c r="T270" s="255"/>
      <c r="U270" s="278"/>
    </row>
    <row r="271" spans="11:21" s="130" customFormat="1" x14ac:dyDescent="0.2">
      <c r="K271" s="255"/>
      <c r="L271" s="278"/>
      <c r="M271" s="278"/>
      <c r="N271" s="255"/>
      <c r="O271" s="255"/>
      <c r="P271" s="255"/>
      <c r="Q271" s="255"/>
      <c r="R271" s="255"/>
      <c r="S271" s="255"/>
      <c r="T271" s="255"/>
      <c r="U271" s="278"/>
    </row>
    <row r="272" spans="11:21" s="130" customFormat="1" x14ac:dyDescent="0.2">
      <c r="K272" s="255"/>
      <c r="L272" s="278"/>
      <c r="M272" s="278"/>
      <c r="N272" s="255"/>
      <c r="O272" s="255"/>
      <c r="P272" s="255"/>
      <c r="Q272" s="255"/>
      <c r="R272" s="255"/>
      <c r="S272" s="255"/>
      <c r="T272" s="255"/>
      <c r="U272" s="278"/>
    </row>
  </sheetData>
  <phoneticPr fontId="0" type="noConversion"/>
  <hyperlinks>
    <hyperlink ref="A32" location="'113 Town Mtg'!Print_Area" display="'113 Town Mtg'!Print_Area"/>
    <hyperlink ref="A33" location="'122 Selectboard'!Print_Area" display="'122 Selectboard'!Print_Area"/>
    <hyperlink ref="A34" location="'131 Fin Comm'!A1" display="'131 Fin Comm'!A1"/>
    <hyperlink ref="A35" location="'132 Reserve Fund'!A1" display="'132 Reserve Fund'!A1"/>
    <hyperlink ref="A36" location="'135 Acct'!A1" display="'135 Acct'!A1"/>
    <hyperlink ref="A37" location="'141 BOA'!A1" display="'141 BOA'!A1"/>
    <hyperlink ref="A38" location="'141 BOA'!A1" display="'141 BOA'!A1"/>
    <hyperlink ref="A39" location="'145 Treas'!A1" display="'145 Treas'!A1"/>
    <hyperlink ref="A40" location="'151 Counsel'!A1" display="'151 Counsel'!A1"/>
    <hyperlink ref="A41" location="'155 IT'!A1" display="'155 IT'!A1"/>
    <hyperlink ref="A42" location="'159 Shared Costs'!A1" display="'159 Shared Costs'!A1"/>
    <hyperlink ref="A43" location="'161 Clerk'!A1" display="'161 Clerk'!A1"/>
    <hyperlink ref="A44" location="'175 Planning'!A1" display="'175 Planning'!A1"/>
    <hyperlink ref="A45" location="'176 ZBA'!A1" display="'176 ZBA'!A1"/>
    <hyperlink ref="A46" location="'182 MEDIC'!A1" display="'182 MEDIC'!A1"/>
    <hyperlink ref="A47" location="'190 Publ Bldg Utilities'!A1" display="'190 Publ Bldg Utilities'!A1"/>
    <hyperlink ref="A52" location="'Working Budget with funding det'!A1" display="'Working Budget with funding det'!A1"/>
    <hyperlink ref="A53" location="'211 Police'!A1" display="'211 Police'!A1"/>
    <hyperlink ref="A54" location="'Working Budget with funding det'!A1" display="'Working Budget with funding det'!A1"/>
    <hyperlink ref="A55" location="'241 Bldg'!A1" display="'241 Bldg'!A1"/>
    <hyperlink ref="A56" location="'Working Budget with funding det'!A1" display="'Working Budget with funding det'!A1"/>
    <hyperlink ref="A57" location="'291 Emergency'!A1" display="'291 Emergency'!A1"/>
    <hyperlink ref="A58" location="'292 Animal'!A1" display="'292 Animal'!A1"/>
    <hyperlink ref="A60" location="'294 Forest Warden'!A1" display="'294 Forest Warden'!A1"/>
    <hyperlink ref="A61" location="'299 Tree Warden'!A1" display="'299 Tree Warden'!A1"/>
    <hyperlink ref="A66" location="'420 DPW'!A1" display="'420 DPW'!A1"/>
    <hyperlink ref="A68" location="'423 Snow'!A1" display="'423 Snow'!A1"/>
    <hyperlink ref="A69" location="'433 Solid Waste'!A1" display="'433 Solid Waste'!A1"/>
    <hyperlink ref="A71" location="'491 Cemetery'!A1" display="'491 Cemetery'!A1"/>
    <hyperlink ref="A77" location="'511 BOH'!A1" display="'511 BOH'!A1"/>
    <hyperlink ref="A78" location="'541 COA'!A1" display="'541 COA'!A1"/>
    <hyperlink ref="A79" location="'543 Vets'!Print_Area" display="'543 Vets'!Print_Area"/>
    <hyperlink ref="A84" location="'610 Library'!A1" display="'610 Library'!A1"/>
    <hyperlink ref="A85" location="'630 Recreation'!A1" display="'630 Recreation'!A1"/>
    <hyperlink ref="A86" location="'691 Historical Comm'!A1" display="'691 Historical Comm'!A1"/>
    <hyperlink ref="A87" location="'693 Memorials'!A1" display="'693 Memorials'!A1"/>
    <hyperlink ref="A92" location="'700 Debt '!A1" display="'700 Debt '!A1"/>
    <hyperlink ref="A95" location="'840 Intergovt'!A1" display="'840 Intergovt'!A1"/>
    <hyperlink ref="A98" location="'910 Benefits'!A1" display="'910 Benefits'!A1"/>
    <hyperlink ref="A99" location="'946 Insurance'!A1" display="'946 Insurance'!A1"/>
    <hyperlink ref="A106" location="'661 440 WPCF'!A1" display="'661 440 WPCF'!A1"/>
    <hyperlink ref="A107" location="'661 449 Hwy'!A1" display="'661 449 Hwy'!A1"/>
    <hyperlink ref="A108" location="'661 700 Debt'!A1" display="'661 700 Debt'!A1"/>
    <hyperlink ref="A109" location="'661 910 Benefits'!A1" display="'661 910 Benefits'!A1"/>
    <hyperlink ref="A114" location="'600 482 Airport'!A1" display="'600 482 Airport'!A1"/>
    <hyperlink ref="A116" location="'300 Schools'!A1" display="'300 Schools'!A1"/>
    <hyperlink ref="B5" location="'Revenue Projections Detail'!A1" display="SOURCES"/>
    <hyperlink ref="A1" location="'Table of Contents'!A1" display="TOC"/>
    <hyperlink ref="A70" location="'480 Charging Stations'!A1" display="'480 Charging Stations'!A1"/>
  </hyperlinks>
  <pageMargins left="0.7" right="0.7" top="0.75" bottom="0.75" header="0.3" footer="0.3"/>
  <pageSetup scale="72" fitToHeight="0" orientation="portrait" r:id="rId1"/>
  <headerFooter alignWithMargins="0">
    <oddFooter>&amp;L&amp;D  &amp;T&amp;C&amp;F&amp;R&amp;A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5"/>
  <sheetViews>
    <sheetView zoomScale="85" zoomScaleNormal="85" workbookViewId="0">
      <pane ySplit="7" topLeftCell="A24" activePane="bottomLeft" state="frozen"/>
      <selection activeCell="K15" sqref="K15"/>
      <selection pane="bottomLeft" activeCell="N14" sqref="N14:N17"/>
    </sheetView>
  </sheetViews>
  <sheetFormatPr defaultRowHeight="12.75" x14ac:dyDescent="0.2"/>
  <cols>
    <col min="1" max="1" width="14.33203125" customWidth="1"/>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5" width="16" customWidth="1"/>
    <col min="16" max="16" width="14.5" customWidth="1"/>
    <col min="17" max="17" width="14.6640625" style="2" customWidth="1"/>
  </cols>
  <sheetData>
    <row r="1" spans="1:17" x14ac:dyDescent="0.2">
      <c r="A1" s="410" t="s">
        <v>1013</v>
      </c>
      <c r="B1" s="410" t="s">
        <v>1418</v>
      </c>
      <c r="M1"/>
    </row>
    <row r="2" spans="1:17" ht="15" x14ac:dyDescent="0.25">
      <c r="A2" s="49" t="s">
        <v>257</v>
      </c>
      <c r="B2" s="49"/>
      <c r="E2" s="153"/>
      <c r="H2" s="153" t="s">
        <v>252</v>
      </c>
      <c r="I2" s="153"/>
      <c r="J2" s="153"/>
      <c r="K2" s="67" t="s">
        <v>361</v>
      </c>
      <c r="M2" s="50" t="s">
        <v>482</v>
      </c>
    </row>
    <row r="3" spans="1:17" ht="13.5" thickBot="1" x14ac:dyDescent="0.25">
      <c r="A3" s="4"/>
      <c r="B3" s="4"/>
      <c r="C3" s="25"/>
      <c r="D3" s="25"/>
      <c r="E3" s="25"/>
      <c r="F3" s="25"/>
      <c r="G3" s="25"/>
      <c r="H3" s="25"/>
      <c r="I3" s="25"/>
      <c r="J3" s="25"/>
      <c r="K3" s="4"/>
      <c r="L3" s="25"/>
      <c r="M3" s="4"/>
      <c r="P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318"/>
      <c r="J5" s="318"/>
      <c r="K5" s="120" t="s">
        <v>509</v>
      </c>
      <c r="L5" s="95" t="s">
        <v>7</v>
      </c>
      <c r="M5" s="209" t="s">
        <v>783</v>
      </c>
      <c r="N5" s="497"/>
      <c r="O5" s="498"/>
      <c r="P5" s="499"/>
      <c r="Q5" s="59"/>
    </row>
    <row r="6" spans="1:17" x14ac:dyDescent="0.2">
      <c r="A6" s="93"/>
      <c r="B6" s="216"/>
      <c r="C6" s="137"/>
      <c r="D6" s="137"/>
      <c r="E6" s="137"/>
      <c r="F6" s="137"/>
      <c r="G6" s="137"/>
      <c r="H6" s="137"/>
      <c r="I6" s="95"/>
      <c r="J6" s="95"/>
      <c r="K6" s="137"/>
      <c r="L6" s="95" t="s">
        <v>8</v>
      </c>
      <c r="M6" s="51" t="s">
        <v>537</v>
      </c>
      <c r="N6" s="188"/>
      <c r="O6" s="101"/>
      <c r="P6" s="500"/>
      <c r="Q6" s="59"/>
    </row>
    <row r="7" spans="1:17"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c r="N7" s="188"/>
      <c r="O7" s="101"/>
      <c r="P7" s="500"/>
      <c r="Q7" s="59"/>
    </row>
    <row r="8" spans="1:17" ht="13.5" thickTop="1" x14ac:dyDescent="0.2">
      <c r="A8" s="10"/>
      <c r="B8" s="192"/>
      <c r="C8" s="815"/>
      <c r="D8" s="228"/>
      <c r="E8" s="228"/>
      <c r="F8" s="228"/>
      <c r="G8" s="228"/>
      <c r="H8" s="228"/>
      <c r="I8" s="229"/>
      <c r="J8" s="229"/>
      <c r="K8" s="111"/>
      <c r="L8" s="82"/>
      <c r="M8" s="82"/>
      <c r="N8" s="188"/>
      <c r="O8" s="101"/>
      <c r="P8" s="500"/>
      <c r="Q8" s="59"/>
    </row>
    <row r="9" spans="1:17" x14ac:dyDescent="0.2">
      <c r="A9" s="12">
        <v>5114</v>
      </c>
      <c r="B9" s="69" t="s">
        <v>1220</v>
      </c>
      <c r="C9" s="140">
        <v>13810.8</v>
      </c>
      <c r="D9" s="14">
        <v>17852.68</v>
      </c>
      <c r="E9" s="14">
        <v>19441.04</v>
      </c>
      <c r="F9" s="14">
        <v>20522.490000000002</v>
      </c>
      <c r="G9" s="14">
        <v>17393.23</v>
      </c>
      <c r="H9" s="14">
        <v>19443.84</v>
      </c>
      <c r="I9" s="14">
        <v>19253.52</v>
      </c>
      <c r="J9" s="15">
        <f>212+21238</f>
        <v>21450</v>
      </c>
      <c r="K9" s="14">
        <v>10287.530000000001</v>
      </c>
      <c r="L9" s="15">
        <f>ROUND((+K43),0)</f>
        <v>22869</v>
      </c>
      <c r="M9" s="15"/>
      <c r="N9" s="501"/>
      <c r="O9" s="204"/>
      <c r="P9" s="500"/>
      <c r="Q9" s="59"/>
    </row>
    <row r="10" spans="1:17" x14ac:dyDescent="0.2">
      <c r="A10" s="12">
        <v>5124</v>
      </c>
      <c r="B10" s="69" t="s">
        <v>1126</v>
      </c>
      <c r="C10" s="263"/>
      <c r="D10" s="39"/>
      <c r="E10" s="39"/>
      <c r="F10" s="39"/>
      <c r="G10" s="39"/>
      <c r="H10" s="39"/>
      <c r="I10" s="39">
        <v>2588</v>
      </c>
      <c r="J10" s="40">
        <v>4500</v>
      </c>
      <c r="K10" s="39">
        <v>1935.5</v>
      </c>
      <c r="L10" s="40">
        <v>6500</v>
      </c>
      <c r="M10" s="40"/>
      <c r="N10" s="501"/>
      <c r="O10" s="204"/>
      <c r="P10" s="500"/>
      <c r="Q10" s="59"/>
    </row>
    <row r="11" spans="1:17" hidden="1" x14ac:dyDescent="0.2">
      <c r="A11" s="12">
        <v>5145</v>
      </c>
      <c r="B11" s="69" t="s">
        <v>152</v>
      </c>
      <c r="C11" s="263"/>
      <c r="D11" s="39"/>
      <c r="E11" s="39"/>
      <c r="F11" s="39"/>
      <c r="G11" s="39">
        <v>300</v>
      </c>
      <c r="H11" s="39"/>
      <c r="I11" s="39"/>
      <c r="J11" s="40"/>
      <c r="K11" s="39"/>
      <c r="L11" s="40"/>
      <c r="M11" s="40"/>
      <c r="N11" s="501"/>
      <c r="O11" s="204"/>
      <c r="P11" s="500"/>
      <c r="Q11" s="59"/>
    </row>
    <row r="12" spans="1:17" ht="13.5" thickBot="1" x14ac:dyDescent="0.25">
      <c r="A12" s="12">
        <v>5145</v>
      </c>
      <c r="B12" s="69" t="s">
        <v>598</v>
      </c>
      <c r="C12" s="141">
        <v>300.04000000000002</v>
      </c>
      <c r="D12" s="16">
        <v>300.04000000000002</v>
      </c>
      <c r="E12" s="16">
        <v>300.04000000000002</v>
      </c>
      <c r="F12" s="16">
        <v>305.81</v>
      </c>
      <c r="G12" s="16">
        <v>236.57</v>
      </c>
      <c r="H12" s="16">
        <v>300.04000000000002</v>
      </c>
      <c r="I12" s="16">
        <v>300.04000000000002</v>
      </c>
      <c r="J12" s="17">
        <v>300</v>
      </c>
      <c r="K12" s="16">
        <v>144.25</v>
      </c>
      <c r="L12" s="17">
        <v>300</v>
      </c>
      <c r="M12" s="17"/>
      <c r="N12" s="501"/>
      <c r="O12" s="101"/>
      <c r="P12" s="500"/>
      <c r="Q12" s="59"/>
    </row>
    <row r="13" spans="1:17" x14ac:dyDescent="0.2">
      <c r="A13" s="12"/>
      <c r="B13" s="70" t="s">
        <v>125</v>
      </c>
      <c r="C13" s="142">
        <f t="shared" ref="C13:L13" si="0">SUM(C9:C12)</f>
        <v>14110.84</v>
      </c>
      <c r="D13" s="19">
        <f t="shared" si="0"/>
        <v>18152.72</v>
      </c>
      <c r="E13" s="19">
        <f t="shared" si="0"/>
        <v>19741.080000000002</v>
      </c>
      <c r="F13" s="19">
        <f>SUM(F9:F12)</f>
        <v>20828.300000000003</v>
      </c>
      <c r="G13" s="19">
        <f>SUM(G9:G12)</f>
        <v>17929.8</v>
      </c>
      <c r="H13" s="19">
        <f>SUM(H9:H12)</f>
        <v>19743.88</v>
      </c>
      <c r="I13" s="19">
        <f t="shared" si="0"/>
        <v>22141.56</v>
      </c>
      <c r="J13" s="38">
        <f t="shared" ref="J13" si="1">SUM(J9:J12)</f>
        <v>26250</v>
      </c>
      <c r="K13" s="19">
        <f t="shared" si="0"/>
        <v>12367.28</v>
      </c>
      <c r="L13" s="38">
        <f t="shared" si="0"/>
        <v>29669</v>
      </c>
      <c r="M13" s="38">
        <f>SUM(M9:M12)</f>
        <v>0</v>
      </c>
      <c r="N13" s="501"/>
      <c r="O13" s="204"/>
      <c r="P13" s="500"/>
      <c r="Q13" s="59"/>
    </row>
    <row r="14" spans="1:17" x14ac:dyDescent="0.2">
      <c r="A14" s="12"/>
      <c r="B14" s="69"/>
      <c r="C14" s="140"/>
      <c r="D14" s="14"/>
      <c r="E14" s="14"/>
      <c r="F14" s="14"/>
      <c r="G14" s="14"/>
      <c r="H14" s="14"/>
      <c r="I14" s="14"/>
      <c r="J14" s="15"/>
      <c r="K14" s="14"/>
      <c r="L14" s="15"/>
      <c r="M14" s="15"/>
      <c r="N14" s="802"/>
      <c r="O14" s="204"/>
      <c r="P14" s="500"/>
      <c r="Q14" s="59"/>
    </row>
    <row r="15" spans="1:17" x14ac:dyDescent="0.2">
      <c r="A15" s="12">
        <v>5211</v>
      </c>
      <c r="B15" s="69" t="s">
        <v>187</v>
      </c>
      <c r="C15" s="140">
        <v>5066.71</v>
      </c>
      <c r="D15" s="14">
        <v>6228.7</v>
      </c>
      <c r="E15" s="14">
        <v>6567.25</v>
      </c>
      <c r="F15" s="14">
        <v>7139.94</v>
      </c>
      <c r="G15" s="14">
        <v>7603.06</v>
      </c>
      <c r="H15" s="14">
        <v>6972.68</v>
      </c>
      <c r="I15" s="805">
        <v>7257.31</v>
      </c>
      <c r="J15" s="655">
        <v>7000</v>
      </c>
      <c r="K15" s="14">
        <v>2351.67</v>
      </c>
      <c r="L15" s="655">
        <v>1250</v>
      </c>
      <c r="M15" s="132"/>
      <c r="N15" s="803"/>
      <c r="O15" s="204"/>
      <c r="P15" s="500"/>
      <c r="Q15" s="59"/>
    </row>
    <row r="16" spans="1:17" hidden="1" x14ac:dyDescent="0.2">
      <c r="A16" s="12">
        <v>5213</v>
      </c>
      <c r="B16" s="69" t="s">
        <v>766</v>
      </c>
      <c r="C16" s="140"/>
      <c r="D16" s="14">
        <v>806.93</v>
      </c>
      <c r="E16" s="14"/>
      <c r="F16" s="14"/>
      <c r="G16" s="14"/>
      <c r="H16" s="14"/>
      <c r="I16" s="805"/>
      <c r="J16" s="655"/>
      <c r="K16" s="14"/>
      <c r="L16" s="655"/>
      <c r="M16" s="132"/>
      <c r="N16" s="501"/>
      <c r="O16" s="204"/>
      <c r="P16" s="500"/>
      <c r="Q16" s="59"/>
    </row>
    <row r="17" spans="1:17" x14ac:dyDescent="0.2">
      <c r="A17" s="12">
        <v>5214</v>
      </c>
      <c r="B17" s="69" t="s">
        <v>710</v>
      </c>
      <c r="C17" s="140">
        <v>537.37</v>
      </c>
      <c r="D17" s="14">
        <v>648.83000000000004</v>
      </c>
      <c r="E17" s="14">
        <v>618.26</v>
      </c>
      <c r="F17" s="14">
        <v>369.77</v>
      </c>
      <c r="G17" s="14">
        <v>451.1</v>
      </c>
      <c r="H17" s="14">
        <v>892.09</v>
      </c>
      <c r="I17" s="805">
        <v>1148.9100000000001</v>
      </c>
      <c r="J17" s="655">
        <v>790</v>
      </c>
      <c r="K17" s="14">
        <v>1297.78</v>
      </c>
      <c r="L17" s="655">
        <v>950</v>
      </c>
      <c r="M17" s="132"/>
      <c r="N17" s="501"/>
      <c r="O17" s="204"/>
      <c r="P17" s="500"/>
      <c r="Q17" s="59"/>
    </row>
    <row r="18" spans="1:17" x14ac:dyDescent="0.2">
      <c r="A18" s="12">
        <v>5231</v>
      </c>
      <c r="B18" s="69" t="s">
        <v>189</v>
      </c>
      <c r="C18" s="140">
        <v>403.2</v>
      </c>
      <c r="D18" s="14">
        <v>146</v>
      </c>
      <c r="E18" s="14">
        <v>219.2</v>
      </c>
      <c r="F18" s="14">
        <v>862.2</v>
      </c>
      <c r="G18" s="14">
        <v>178.2</v>
      </c>
      <c r="H18" s="14">
        <v>259.2</v>
      </c>
      <c r="I18" s="805">
        <v>423.9</v>
      </c>
      <c r="J18" s="655">
        <v>500</v>
      </c>
      <c r="K18" s="14">
        <v>108.5</v>
      </c>
      <c r="L18" s="655">
        <v>500</v>
      </c>
      <c r="M18" s="132"/>
      <c r="N18" s="501"/>
      <c r="O18" s="204"/>
      <c r="P18" s="500"/>
      <c r="Q18" s="59"/>
    </row>
    <row r="19" spans="1:17" x14ac:dyDescent="0.2">
      <c r="A19" s="12">
        <v>5241</v>
      </c>
      <c r="B19" s="13" t="s">
        <v>698</v>
      </c>
      <c r="C19" s="14">
        <v>5585.18</v>
      </c>
      <c r="D19" s="14">
        <v>4307.68</v>
      </c>
      <c r="E19" s="14">
        <v>2060.39</v>
      </c>
      <c r="F19" s="14">
        <v>3265.74</v>
      </c>
      <c r="G19" s="14">
        <v>3262.36</v>
      </c>
      <c r="H19" s="14">
        <v>7969.93</v>
      </c>
      <c r="I19" s="805">
        <v>6357.29</v>
      </c>
      <c r="J19" s="655">
        <v>5000</v>
      </c>
      <c r="K19" s="14">
        <v>6793.18</v>
      </c>
      <c r="L19" s="655">
        <v>8000</v>
      </c>
      <c r="M19" s="132"/>
      <c r="O19" s="204"/>
      <c r="P19" s="500"/>
      <c r="Q19" s="59"/>
    </row>
    <row r="20" spans="1:17" x14ac:dyDescent="0.2">
      <c r="A20" s="12">
        <v>5251</v>
      </c>
      <c r="B20" s="13" t="s">
        <v>213</v>
      </c>
      <c r="C20" s="14">
        <v>740.5</v>
      </c>
      <c r="D20" s="14">
        <v>1025.08</v>
      </c>
      <c r="E20" s="14">
        <v>368.69</v>
      </c>
      <c r="F20" s="14"/>
      <c r="G20" s="14">
        <v>174.84</v>
      </c>
      <c r="H20" s="14">
        <v>553.89</v>
      </c>
      <c r="I20" s="805">
        <v>1161.04</v>
      </c>
      <c r="J20" s="655">
        <v>1550</v>
      </c>
      <c r="K20" s="14">
        <v>564.51</v>
      </c>
      <c r="L20" s="655">
        <v>2000</v>
      </c>
      <c r="M20" s="132"/>
      <c r="O20" s="204"/>
      <c r="P20" s="500"/>
      <c r="Q20" s="59"/>
    </row>
    <row r="21" spans="1:17" x14ac:dyDescent="0.2">
      <c r="A21" s="12">
        <v>5275</v>
      </c>
      <c r="B21" s="13" t="s">
        <v>206</v>
      </c>
      <c r="C21" s="14">
        <v>3574</v>
      </c>
      <c r="D21" s="14">
        <v>5884</v>
      </c>
      <c r="E21" s="14">
        <v>9987.5</v>
      </c>
      <c r="F21" s="14">
        <v>1200</v>
      </c>
      <c r="G21" s="14">
        <v>14487.5</v>
      </c>
      <c r="H21" s="14">
        <v>4654.92</v>
      </c>
      <c r="I21" s="805">
        <v>2282.0300000000002</v>
      </c>
      <c r="J21" s="655">
        <v>1000</v>
      </c>
      <c r="K21" s="14">
        <v>1685.11</v>
      </c>
      <c r="L21" s="655">
        <v>1100</v>
      </c>
      <c r="M21" s="132"/>
      <c r="O21" s="204"/>
      <c r="P21" s="500"/>
      <c r="Q21" s="59"/>
    </row>
    <row r="22" spans="1:17" x14ac:dyDescent="0.2">
      <c r="A22" s="12">
        <v>5302</v>
      </c>
      <c r="B22" s="13" t="s">
        <v>146</v>
      </c>
      <c r="C22" s="14">
        <v>391</v>
      </c>
      <c r="D22" s="14">
        <v>238</v>
      </c>
      <c r="E22" s="14">
        <v>17</v>
      </c>
      <c r="F22" s="14">
        <v>85</v>
      </c>
      <c r="G22" s="14"/>
      <c r="H22" s="14"/>
      <c r="I22" s="805">
        <v>140</v>
      </c>
      <c r="J22" s="655">
        <v>750</v>
      </c>
      <c r="K22" s="14"/>
      <c r="L22" s="655">
        <v>0</v>
      </c>
      <c r="M22" s="132"/>
      <c r="O22" s="204"/>
      <c r="P22" s="500"/>
      <c r="Q22" s="59"/>
    </row>
    <row r="23" spans="1:17" x14ac:dyDescent="0.2">
      <c r="A23" s="12">
        <v>5314</v>
      </c>
      <c r="B23" s="13" t="s">
        <v>612</v>
      </c>
      <c r="C23" s="14">
        <v>189</v>
      </c>
      <c r="D23" s="14">
        <v>240</v>
      </c>
      <c r="E23" s="14"/>
      <c r="F23" s="14">
        <v>180</v>
      </c>
      <c r="G23" s="14">
        <v>300</v>
      </c>
      <c r="H23" s="14">
        <v>200</v>
      </c>
      <c r="I23" s="805">
        <v>46.79</v>
      </c>
      <c r="J23" s="655">
        <v>450</v>
      </c>
      <c r="K23" s="14"/>
      <c r="L23" s="655">
        <v>500</v>
      </c>
      <c r="M23" s="132"/>
      <c r="O23" s="204"/>
      <c r="P23" s="500"/>
      <c r="Q23" s="59"/>
    </row>
    <row r="24" spans="1:17" x14ac:dyDescent="0.2">
      <c r="A24" s="12">
        <v>5315</v>
      </c>
      <c r="B24" s="13" t="s">
        <v>127</v>
      </c>
      <c r="C24" s="14">
        <v>175</v>
      </c>
      <c r="D24" s="14">
        <v>0</v>
      </c>
      <c r="E24" s="14"/>
      <c r="F24" s="14"/>
      <c r="G24" s="14">
        <v>83.79</v>
      </c>
      <c r="H24" s="14">
        <v>260</v>
      </c>
      <c r="I24" s="805">
        <v>496.29</v>
      </c>
      <c r="J24" s="655">
        <v>500</v>
      </c>
      <c r="K24" s="14"/>
      <c r="L24" s="655">
        <v>500</v>
      </c>
      <c r="M24" s="132"/>
      <c r="O24" s="204"/>
      <c r="P24" s="500"/>
      <c r="Q24" s="59"/>
    </row>
    <row r="25" spans="1:17" x14ac:dyDescent="0.2">
      <c r="A25" s="12">
        <v>5341</v>
      </c>
      <c r="B25" s="13" t="s">
        <v>1216</v>
      </c>
      <c r="C25" s="14">
        <v>824.55</v>
      </c>
      <c r="D25" s="14">
        <v>813.4</v>
      </c>
      <c r="E25" s="14">
        <v>808.28</v>
      </c>
      <c r="F25" s="14">
        <v>990.09</v>
      </c>
      <c r="G25" s="14">
        <v>1512.13</v>
      </c>
      <c r="H25" s="14">
        <v>1331.16</v>
      </c>
      <c r="I25" s="805">
        <v>1196.72</v>
      </c>
      <c r="J25" s="655">
        <v>1550</v>
      </c>
      <c r="K25" s="14">
        <v>492.85</v>
      </c>
      <c r="L25" s="655">
        <v>1650</v>
      </c>
      <c r="M25" s="132"/>
      <c r="O25" s="204"/>
      <c r="P25" s="500"/>
      <c r="Q25" s="59"/>
    </row>
    <row r="26" spans="1:17" x14ac:dyDescent="0.2">
      <c r="A26" s="12">
        <v>5344</v>
      </c>
      <c r="B26" s="13" t="s">
        <v>137</v>
      </c>
      <c r="C26" s="14">
        <v>82.22</v>
      </c>
      <c r="D26" s="14">
        <v>33.18</v>
      </c>
      <c r="E26" s="14">
        <v>47.61</v>
      </c>
      <c r="F26" s="14">
        <v>68.349999999999994</v>
      </c>
      <c r="G26" s="14">
        <v>36.56</v>
      </c>
      <c r="H26" s="14">
        <v>57.59</v>
      </c>
      <c r="I26" s="805">
        <v>173.38</v>
      </c>
      <c r="J26" s="655">
        <v>100</v>
      </c>
      <c r="K26" s="14"/>
      <c r="L26" s="655">
        <v>125</v>
      </c>
      <c r="M26" s="132"/>
      <c r="O26" s="204"/>
      <c r="P26" s="500"/>
      <c r="Q26" s="59"/>
    </row>
    <row r="27" spans="1:17" x14ac:dyDescent="0.2">
      <c r="A27" s="12">
        <v>5345</v>
      </c>
      <c r="B27" s="13" t="s">
        <v>138</v>
      </c>
      <c r="C27" s="19"/>
      <c r="D27" s="14">
        <v>796.78</v>
      </c>
      <c r="E27" s="14"/>
      <c r="F27" s="14">
        <v>150.03</v>
      </c>
      <c r="G27" s="14">
        <v>222.97</v>
      </c>
      <c r="H27" s="14"/>
      <c r="I27" s="805">
        <v>198.29</v>
      </c>
      <c r="J27" s="655">
        <v>1250</v>
      </c>
      <c r="K27" s="19">
        <v>893.2</v>
      </c>
      <c r="L27" s="655">
        <v>1250</v>
      </c>
      <c r="M27" s="132"/>
      <c r="O27" s="204"/>
      <c r="P27" s="500"/>
      <c r="Q27" s="59"/>
    </row>
    <row r="28" spans="1:17" x14ac:dyDescent="0.2">
      <c r="A28" s="12">
        <v>5420</v>
      </c>
      <c r="B28" s="13" t="s">
        <v>139</v>
      </c>
      <c r="C28" s="19">
        <v>175.79</v>
      </c>
      <c r="D28" s="14">
        <v>124.86</v>
      </c>
      <c r="E28" s="14">
        <v>221.12</v>
      </c>
      <c r="F28" s="14">
        <v>2057.3000000000002</v>
      </c>
      <c r="G28" s="14">
        <v>241.04</v>
      </c>
      <c r="H28" s="14">
        <v>872.64</v>
      </c>
      <c r="I28" s="805">
        <v>717.58</v>
      </c>
      <c r="J28" s="655">
        <v>750</v>
      </c>
      <c r="K28" s="19">
        <v>477.4</v>
      </c>
      <c r="L28" s="655">
        <v>800</v>
      </c>
      <c r="M28" s="132"/>
      <c r="O28" s="204"/>
      <c r="P28" s="500"/>
      <c r="Q28" s="59"/>
    </row>
    <row r="29" spans="1:17" x14ac:dyDescent="0.2">
      <c r="A29" s="12">
        <v>5443</v>
      </c>
      <c r="B29" s="13" t="s">
        <v>196</v>
      </c>
      <c r="C29" s="14">
        <v>48.61</v>
      </c>
      <c r="D29" s="19">
        <v>0</v>
      </c>
      <c r="E29" s="19"/>
      <c r="F29" s="19">
        <v>108.25</v>
      </c>
      <c r="G29" s="19">
        <v>158.6</v>
      </c>
      <c r="H29" s="19">
        <v>526.35</v>
      </c>
      <c r="I29" s="806">
        <v>621.1</v>
      </c>
      <c r="J29" s="656">
        <v>550</v>
      </c>
      <c r="K29" s="14">
        <v>3885.95</v>
      </c>
      <c r="L29" s="656">
        <v>850</v>
      </c>
      <c r="M29" s="134"/>
      <c r="O29" s="204"/>
      <c r="P29" s="500"/>
      <c r="Q29" s="59"/>
    </row>
    <row r="30" spans="1:17" x14ac:dyDescent="0.2">
      <c r="A30" s="12">
        <v>5500</v>
      </c>
      <c r="B30" s="13" t="s">
        <v>767</v>
      </c>
      <c r="C30" s="19"/>
      <c r="D30" s="19">
        <v>113.67</v>
      </c>
      <c r="E30" s="19">
        <v>500</v>
      </c>
      <c r="F30" s="19">
        <v>1747.06</v>
      </c>
      <c r="G30" s="19">
        <v>923.8</v>
      </c>
      <c r="H30" s="19">
        <v>2520.9499999999998</v>
      </c>
      <c r="I30" s="806">
        <v>1284.3499999999999</v>
      </c>
      <c r="J30" s="656">
        <v>600</v>
      </c>
      <c r="K30" s="14">
        <v>439.19</v>
      </c>
      <c r="L30" s="656">
        <v>650</v>
      </c>
      <c r="M30" s="134"/>
      <c r="O30" s="204"/>
      <c r="P30" s="500"/>
      <c r="Q30" s="59"/>
    </row>
    <row r="31" spans="1:17" x14ac:dyDescent="0.2">
      <c r="A31" s="12">
        <v>5582</v>
      </c>
      <c r="B31" s="13" t="s">
        <v>1125</v>
      </c>
      <c r="C31" s="19"/>
      <c r="D31" s="19"/>
      <c r="E31" s="19"/>
      <c r="F31" s="19"/>
      <c r="G31" s="19"/>
      <c r="H31" s="19"/>
      <c r="I31" s="806">
        <v>139</v>
      </c>
      <c r="J31" s="656">
        <v>300</v>
      </c>
      <c r="K31" s="14">
        <v>74.97</v>
      </c>
      <c r="L31" s="656">
        <v>300</v>
      </c>
      <c r="M31" s="134"/>
      <c r="O31" s="204"/>
      <c r="P31" s="500"/>
      <c r="Q31" s="59"/>
    </row>
    <row r="32" spans="1:17" x14ac:dyDescent="0.2">
      <c r="A32" s="12">
        <v>5710</v>
      </c>
      <c r="B32" s="13" t="s">
        <v>529</v>
      </c>
      <c r="C32" s="19">
        <v>432.52</v>
      </c>
      <c r="D32" s="14">
        <v>358.6</v>
      </c>
      <c r="E32" s="14">
        <v>213.5</v>
      </c>
      <c r="F32" s="14">
        <v>1109.31</v>
      </c>
      <c r="G32" s="14">
        <v>502.28</v>
      </c>
      <c r="H32" s="14"/>
      <c r="I32" s="805">
        <v>205</v>
      </c>
      <c r="J32" s="655">
        <v>550</v>
      </c>
      <c r="K32" s="14">
        <v>545.29999999999995</v>
      </c>
      <c r="L32" s="655">
        <v>950</v>
      </c>
      <c r="M32" s="132"/>
      <c r="O32" s="204"/>
      <c r="P32" s="500"/>
      <c r="Q32" s="59"/>
    </row>
    <row r="33" spans="1:17" x14ac:dyDescent="0.2">
      <c r="A33" s="12">
        <v>5730</v>
      </c>
      <c r="B33" s="13" t="s">
        <v>993</v>
      </c>
      <c r="C33" s="32"/>
      <c r="D33" s="14"/>
      <c r="E33" s="14"/>
      <c r="F33" s="14">
        <v>175</v>
      </c>
      <c r="G33" s="14"/>
      <c r="H33" s="14">
        <v>230</v>
      </c>
      <c r="I33" s="805">
        <v>255</v>
      </c>
      <c r="J33" s="655">
        <v>350</v>
      </c>
      <c r="K33" s="14"/>
      <c r="L33" s="655">
        <v>400</v>
      </c>
      <c r="M33" s="132"/>
      <c r="O33" s="204"/>
      <c r="P33" s="500"/>
      <c r="Q33" s="59"/>
    </row>
    <row r="34" spans="1:17" ht="13.5" thickBot="1" x14ac:dyDescent="0.25">
      <c r="A34" s="12">
        <v>5740</v>
      </c>
      <c r="B34" s="13" t="s">
        <v>149</v>
      </c>
      <c r="C34" s="16">
        <v>4569</v>
      </c>
      <c r="D34" s="41">
        <v>4735</v>
      </c>
      <c r="E34" s="41">
        <f>175+4225</f>
        <v>4400</v>
      </c>
      <c r="F34" s="41">
        <v>4184</v>
      </c>
      <c r="G34" s="41">
        <v>3850</v>
      </c>
      <c r="H34" s="41">
        <v>1725</v>
      </c>
      <c r="I34" s="807">
        <v>2146</v>
      </c>
      <c r="J34" s="657">
        <v>3500</v>
      </c>
      <c r="K34" s="41">
        <v>1525</v>
      </c>
      <c r="L34" s="657">
        <v>4250</v>
      </c>
      <c r="M34" s="159"/>
      <c r="O34" s="101"/>
      <c r="P34" s="500"/>
      <c r="Q34" s="59"/>
    </row>
    <row r="35" spans="1:17" x14ac:dyDescent="0.2">
      <c r="A35" s="12"/>
      <c r="B35" s="18" t="s">
        <v>442</v>
      </c>
      <c r="C35" s="14">
        <f t="shared" ref="C35:K35" si="2">SUM(C15:C34)</f>
        <v>22794.65</v>
      </c>
      <c r="D35" s="14">
        <f t="shared" si="2"/>
        <v>26500.71</v>
      </c>
      <c r="E35" s="14">
        <f t="shared" si="2"/>
        <v>26028.799999999999</v>
      </c>
      <c r="F35" s="14">
        <f>SUM(F15:F34)</f>
        <v>23692.040000000005</v>
      </c>
      <c r="G35" s="14">
        <f>SUM(G15:G34)</f>
        <v>33988.230000000003</v>
      </c>
      <c r="H35" s="14">
        <f>SUM(H15:H34)</f>
        <v>29026.399999999998</v>
      </c>
      <c r="I35" s="14">
        <f t="shared" si="2"/>
        <v>26249.980000000003</v>
      </c>
      <c r="J35" s="44">
        <f>SUM(J15:J34)</f>
        <v>27040</v>
      </c>
      <c r="K35" s="14">
        <f t="shared" si="2"/>
        <v>21134.61</v>
      </c>
      <c r="L35" s="44">
        <f>SUM(L15:L34)</f>
        <v>26025</v>
      </c>
      <c r="M35" s="15">
        <f>SUM(M15:M34)</f>
        <v>0</v>
      </c>
      <c r="N35" s="501"/>
      <c r="O35" s="204"/>
      <c r="P35" s="500"/>
      <c r="Q35" s="59"/>
    </row>
    <row r="36" spans="1:17" ht="15.75" x14ac:dyDescent="0.25">
      <c r="A36" s="12"/>
      <c r="B36" s="13"/>
      <c r="C36" s="14"/>
      <c r="D36" s="14"/>
      <c r="E36" s="14"/>
      <c r="F36" s="14"/>
      <c r="G36" s="14"/>
      <c r="H36" s="14"/>
      <c r="I36" s="14"/>
      <c r="J36" s="14"/>
      <c r="K36" s="14"/>
      <c r="L36" s="14"/>
      <c r="M36" s="15"/>
      <c r="N36" s="502"/>
      <c r="O36" s="503"/>
      <c r="P36" s="500"/>
      <c r="Q36" s="59"/>
    </row>
    <row r="37" spans="1:17" ht="13.5" thickBot="1" x14ac:dyDescent="0.25">
      <c r="A37" s="21"/>
      <c r="B37" s="22" t="s">
        <v>456</v>
      </c>
      <c r="C37" s="23">
        <f t="shared" ref="C37:L37" si="3">+C35+C13</f>
        <v>36905.490000000005</v>
      </c>
      <c r="D37" s="23">
        <f t="shared" si="3"/>
        <v>44653.43</v>
      </c>
      <c r="E37" s="23">
        <f t="shared" si="3"/>
        <v>45769.880000000005</v>
      </c>
      <c r="F37" s="23">
        <f t="shared" si="3"/>
        <v>44520.340000000011</v>
      </c>
      <c r="G37" s="23">
        <f t="shared" si="3"/>
        <v>51918.03</v>
      </c>
      <c r="H37" s="23">
        <f>+H35+H13</f>
        <v>48770.28</v>
      </c>
      <c r="I37" s="23">
        <f t="shared" si="3"/>
        <v>48391.540000000008</v>
      </c>
      <c r="J37" s="744">
        <f t="shared" ref="J37" si="4">+J35+J13</f>
        <v>53290</v>
      </c>
      <c r="K37" s="23">
        <f t="shared" si="3"/>
        <v>33501.89</v>
      </c>
      <c r="L37" s="744">
        <f t="shared" si="3"/>
        <v>55694</v>
      </c>
      <c r="M37" s="24">
        <f>+L37</f>
        <v>55694</v>
      </c>
    </row>
    <row r="38" spans="1:17" ht="16.5" thickTop="1" x14ac:dyDescent="0.25">
      <c r="A38" s="72"/>
      <c r="B38" s="4"/>
      <c r="C38" s="25"/>
      <c r="D38" s="25"/>
      <c r="E38" s="25"/>
      <c r="F38" s="25"/>
      <c r="G38" s="25"/>
      <c r="H38" s="25"/>
      <c r="I38" s="25"/>
      <c r="J38" s="25"/>
      <c r="K38" s="29"/>
      <c r="L38" s="25"/>
      <c r="M38" s="29"/>
      <c r="O38" s="214"/>
      <c r="P38" s="29"/>
    </row>
    <row r="39" spans="1:17" x14ac:dyDescent="0.2">
      <c r="A39" s="4"/>
      <c r="B39" s="4"/>
      <c r="C39" s="25"/>
      <c r="D39" s="25"/>
      <c r="E39" s="25"/>
      <c r="F39" s="25"/>
      <c r="G39" s="25"/>
      <c r="H39" s="25"/>
      <c r="I39" s="25"/>
      <c r="J39" s="25"/>
      <c r="K39" s="29"/>
      <c r="L39" s="25"/>
      <c r="M39" s="29"/>
      <c r="N39" s="29"/>
      <c r="O39" s="29"/>
      <c r="P39" s="29"/>
    </row>
    <row r="40" spans="1:17" ht="13.5" thickBot="1" x14ac:dyDescent="0.25">
      <c r="A40" s="4" t="s">
        <v>521</v>
      </c>
      <c r="B40" s="4"/>
    </row>
    <row r="41" spans="1:17" ht="13.5" thickTop="1" x14ac:dyDescent="0.2">
      <c r="A41" s="162" t="s">
        <v>883</v>
      </c>
      <c r="B41" s="114"/>
      <c r="D41" s="386"/>
      <c r="H41" s="346" t="s">
        <v>84</v>
      </c>
      <c r="I41" s="169" t="s">
        <v>574</v>
      </c>
      <c r="J41" s="170" t="s">
        <v>576</v>
      </c>
      <c r="K41" s="176" t="s">
        <v>578</v>
      </c>
      <c r="M41" s="270"/>
    </row>
    <row r="42" spans="1:17" ht="13.5" thickBot="1" x14ac:dyDescent="0.25">
      <c r="A42" s="392" t="s">
        <v>884</v>
      </c>
      <c r="B42" s="116" t="s">
        <v>522</v>
      </c>
      <c r="D42" s="387"/>
      <c r="H42" s="377"/>
      <c r="I42" s="172" t="s">
        <v>575</v>
      </c>
      <c r="J42" s="326" t="s">
        <v>573</v>
      </c>
      <c r="K42" s="173" t="s">
        <v>101</v>
      </c>
      <c r="M42" s="270"/>
    </row>
    <row r="43" spans="1:17" ht="13.5" thickTop="1" x14ac:dyDescent="0.2">
      <c r="A43" s="164">
        <v>42866</v>
      </c>
      <c r="B43" s="117" t="s">
        <v>726</v>
      </c>
      <c r="D43" s="19"/>
      <c r="H43" s="843" t="s">
        <v>1508</v>
      </c>
      <c r="I43" s="136">
        <f>+'NAGE &amp; Non-Union Wages'!F7</f>
        <v>22.71</v>
      </c>
      <c r="J43" s="844">
        <v>1007</v>
      </c>
      <c r="K43" s="359">
        <f>ROUND((+J43*I43),2)</f>
        <v>22868.97</v>
      </c>
      <c r="M43" s="327"/>
    </row>
    <row r="44" spans="1:17" x14ac:dyDescent="0.2">
      <c r="A44" s="164"/>
      <c r="B44" s="117" t="s">
        <v>1509</v>
      </c>
      <c r="D44" s="19"/>
      <c r="H44" s="19"/>
      <c r="I44" s="19"/>
      <c r="J44" s="328"/>
      <c r="K44" s="168"/>
      <c r="M44" s="327"/>
    </row>
    <row r="45" spans="1:17" x14ac:dyDescent="0.2">
      <c r="A45" s="4"/>
      <c r="B45" s="4"/>
      <c r="C45" s="25"/>
      <c r="D45" s="25"/>
      <c r="E45" s="25"/>
      <c r="F45" s="25"/>
      <c r="H45" s="25"/>
      <c r="I45" s="25"/>
      <c r="J45" s="25"/>
      <c r="K45" s="29"/>
      <c r="L45" s="25"/>
      <c r="M45" s="25"/>
      <c r="N45" s="29"/>
      <c r="O45" s="29"/>
      <c r="P45" s="29"/>
    </row>
    <row r="46" spans="1:17" x14ac:dyDescent="0.2">
      <c r="A46" s="479" t="s">
        <v>900</v>
      </c>
      <c r="B46" s="480" t="s">
        <v>776</v>
      </c>
      <c r="C46" s="118"/>
      <c r="D46" s="25"/>
      <c r="E46" s="25"/>
      <c r="F46" s="25"/>
      <c r="H46" s="25"/>
      <c r="I46" s="25"/>
      <c r="J46" s="25"/>
      <c r="K46" s="25"/>
      <c r="L46" s="25"/>
      <c r="N46" s="29"/>
      <c r="O46" s="29"/>
      <c r="P46" s="29"/>
    </row>
    <row r="47" spans="1:17" x14ac:dyDescent="0.2">
      <c r="A47" s="481">
        <v>54289.5</v>
      </c>
      <c r="B47" s="480" t="s">
        <v>777</v>
      </c>
      <c r="C47" s="26"/>
      <c r="D47" s="25"/>
      <c r="E47" s="25"/>
      <c r="F47" s="25"/>
      <c r="H47" s="25"/>
      <c r="I47" s="25"/>
      <c r="J47" s="4"/>
      <c r="K47" s="25"/>
      <c r="L47" s="25"/>
      <c r="N47" s="4"/>
      <c r="O47" s="4"/>
      <c r="P47" s="4"/>
    </row>
    <row r="48" spans="1:17" x14ac:dyDescent="0.2">
      <c r="A48" s="481"/>
      <c r="B48" s="480"/>
      <c r="C48" s="26"/>
      <c r="D48" s="25"/>
      <c r="E48" s="25"/>
      <c r="F48" s="25"/>
      <c r="H48" s="25"/>
      <c r="I48" s="25"/>
      <c r="J48" s="25"/>
      <c r="K48" s="25"/>
      <c r="L48" s="25"/>
      <c r="N48" s="4"/>
      <c r="O48" s="4"/>
      <c r="P48" s="4"/>
    </row>
    <row r="49" spans="1:16" x14ac:dyDescent="0.2">
      <c r="A49" s="481"/>
      <c r="B49" s="480"/>
      <c r="C49" s="26"/>
      <c r="D49" s="25"/>
      <c r="E49" s="25"/>
      <c r="F49" s="25"/>
      <c r="H49" s="25"/>
      <c r="I49" s="25"/>
      <c r="J49" s="25"/>
      <c r="K49" s="25"/>
      <c r="L49" s="25"/>
      <c r="N49" s="4"/>
      <c r="O49" s="4"/>
      <c r="P49" s="4"/>
    </row>
    <row r="50" spans="1:16" x14ac:dyDescent="0.2">
      <c r="A50" s="482">
        <f>+L37-A47</f>
        <v>1404.5</v>
      </c>
      <c r="B50" s="480" t="s">
        <v>546</v>
      </c>
      <c r="C50" s="26"/>
      <c r="D50" s="25"/>
      <c r="E50" s="25"/>
      <c r="F50" s="25"/>
      <c r="H50" s="25"/>
      <c r="I50" s="25"/>
      <c r="J50" s="25"/>
      <c r="K50" s="25"/>
      <c r="L50" s="25"/>
      <c r="N50" s="4"/>
      <c r="O50" s="4"/>
      <c r="P50" s="4"/>
    </row>
    <row r="51" spans="1:16" x14ac:dyDescent="0.2">
      <c r="A51" s="483">
        <f>SUM(A47:A50)</f>
        <v>55694</v>
      </c>
      <c r="B51" s="480"/>
      <c r="C51" s="230"/>
      <c r="D51" s="25"/>
      <c r="E51" s="25"/>
      <c r="F51" s="25"/>
      <c r="H51" s="25"/>
      <c r="I51" s="25"/>
      <c r="J51" s="25"/>
      <c r="K51" s="25"/>
      <c r="L51" s="25"/>
      <c r="N51" s="4"/>
      <c r="O51" s="4"/>
      <c r="P51" s="4"/>
    </row>
    <row r="52" spans="1:16" x14ac:dyDescent="0.2">
      <c r="A52" s="4"/>
      <c r="B52" s="4"/>
      <c r="C52" s="25"/>
      <c r="D52" s="25"/>
      <c r="E52" s="25"/>
      <c r="F52" s="25"/>
      <c r="H52" s="25"/>
      <c r="I52" s="25"/>
      <c r="J52" s="25"/>
      <c r="K52" s="25"/>
      <c r="L52" s="25"/>
      <c r="N52" s="4"/>
      <c r="O52" s="4"/>
      <c r="P52" s="4"/>
    </row>
    <row r="53" spans="1:16" ht="13.5" thickBot="1" x14ac:dyDescent="0.25">
      <c r="A53" s="72"/>
      <c r="B53" s="4"/>
      <c r="C53" s="25"/>
      <c r="D53" s="25"/>
      <c r="E53" s="25"/>
      <c r="F53" s="25"/>
      <c r="H53" s="25"/>
      <c r="I53" s="25"/>
      <c r="J53" s="25"/>
      <c r="K53" s="25"/>
      <c r="L53" s="25"/>
      <c r="N53" s="4"/>
      <c r="O53" s="4"/>
      <c r="P53" s="4"/>
    </row>
    <row r="54" spans="1:16" ht="13.5" thickTop="1" x14ac:dyDescent="0.2">
      <c r="A54" s="517"/>
      <c r="B54" s="518"/>
      <c r="C54" s="519" t="s">
        <v>122</v>
      </c>
      <c r="D54" s="520" t="s">
        <v>122</v>
      </c>
      <c r="E54" s="520" t="s">
        <v>122</v>
      </c>
      <c r="H54" s="521" t="s">
        <v>542</v>
      </c>
      <c r="I54" s="522" t="s">
        <v>9</v>
      </c>
      <c r="J54" s="523" t="s">
        <v>1073</v>
      </c>
      <c r="K54" s="522" t="s">
        <v>682</v>
      </c>
      <c r="L54" s="524"/>
      <c r="M54" s="523"/>
      <c r="N54" s="4"/>
      <c r="O54" s="4"/>
      <c r="P54" s="4"/>
    </row>
    <row r="55" spans="1:16" ht="13.5" thickBot="1" x14ac:dyDescent="0.25">
      <c r="A55" s="525" t="s">
        <v>123</v>
      </c>
      <c r="B55" s="526"/>
      <c r="C55" s="527" t="s">
        <v>334</v>
      </c>
      <c r="D55" s="527" t="s">
        <v>718</v>
      </c>
      <c r="E55" s="528" t="s">
        <v>734</v>
      </c>
      <c r="H55" s="529" t="s">
        <v>899</v>
      </c>
      <c r="I55" s="529" t="s">
        <v>900</v>
      </c>
      <c r="J55" s="594" t="s">
        <v>1075</v>
      </c>
      <c r="K55" s="658" t="s">
        <v>1075</v>
      </c>
      <c r="L55" s="596" t="s">
        <v>1074</v>
      </c>
      <c r="M55" s="593"/>
      <c r="N55" s="4"/>
      <c r="O55" s="4"/>
      <c r="P55" s="4"/>
    </row>
    <row r="56" spans="1:16" ht="13.5" thickTop="1" x14ac:dyDescent="0.2">
      <c r="A56" s="551">
        <v>5114</v>
      </c>
      <c r="B56" s="540" t="s">
        <v>738</v>
      </c>
      <c r="C56" s="544">
        <v>13810.8</v>
      </c>
      <c r="D56" s="544">
        <v>17852.68</v>
      </c>
      <c r="E56" s="544">
        <v>19441.04</v>
      </c>
      <c r="H56" s="746">
        <f>+J9</f>
        <v>21450</v>
      </c>
      <c r="I56" s="746">
        <f>+L9</f>
        <v>22869</v>
      </c>
      <c r="J56" s="543">
        <f t="shared" ref="J56:J75" si="5">+I56-H56</f>
        <v>1419</v>
      </c>
      <c r="K56" s="545">
        <f t="shared" ref="K56:K79" si="6">IF(H56+I56&lt;&gt;0,IF(H56&lt;&gt;0,IF(J56&lt;&gt;0,ROUND((+J56/H56),4),""),1),"")</f>
        <v>6.6199999999999995E-2</v>
      </c>
      <c r="L56" s="841" t="s">
        <v>1510</v>
      </c>
      <c r="M56" s="539"/>
      <c r="N56" s="4"/>
      <c r="O56" s="4"/>
      <c r="P56" s="4"/>
    </row>
    <row r="57" spans="1:16" x14ac:dyDescent="0.2">
      <c r="A57" s="551">
        <v>5124</v>
      </c>
      <c r="B57" s="540" t="s">
        <v>1127</v>
      </c>
      <c r="C57" s="546"/>
      <c r="D57" s="546"/>
      <c r="E57" s="546"/>
      <c r="H57" s="746">
        <f t="shared" ref="H57:H59" si="7">+J10</f>
        <v>4500</v>
      </c>
      <c r="I57" s="746">
        <f>+L10</f>
        <v>6500</v>
      </c>
      <c r="J57" s="543">
        <f t="shared" si="5"/>
        <v>2000</v>
      </c>
      <c r="K57" s="545">
        <f t="shared" si="6"/>
        <v>0.44440000000000002</v>
      </c>
      <c r="L57" s="841" t="s">
        <v>1511</v>
      </c>
      <c r="M57" s="539"/>
      <c r="N57" s="4"/>
      <c r="O57" s="4"/>
      <c r="P57" s="4"/>
    </row>
    <row r="58" spans="1:16" hidden="1" x14ac:dyDescent="0.2">
      <c r="A58" s="551">
        <v>5145</v>
      </c>
      <c r="B58" s="540" t="s">
        <v>152</v>
      </c>
      <c r="C58" s="546"/>
      <c r="D58" s="546"/>
      <c r="E58" s="546"/>
      <c r="H58" s="746">
        <f t="shared" si="7"/>
        <v>0</v>
      </c>
      <c r="I58" s="746"/>
      <c r="J58" s="543">
        <f t="shared" si="5"/>
        <v>0</v>
      </c>
      <c r="K58" s="545" t="str">
        <f t="shared" si="6"/>
        <v/>
      </c>
      <c r="L58" s="841"/>
      <c r="M58" s="539"/>
      <c r="N58" s="4"/>
      <c r="O58" s="4"/>
      <c r="P58" s="4"/>
    </row>
    <row r="59" spans="1:16" ht="13.5" thickBot="1" x14ac:dyDescent="0.25">
      <c r="A59" s="551">
        <v>5145</v>
      </c>
      <c r="B59" s="540" t="s">
        <v>598</v>
      </c>
      <c r="C59" s="542">
        <v>300.04000000000002</v>
      </c>
      <c r="D59" s="542">
        <v>300.04000000000002</v>
      </c>
      <c r="E59" s="542">
        <v>300.04000000000002</v>
      </c>
      <c r="H59" s="746">
        <f t="shared" si="7"/>
        <v>300</v>
      </c>
      <c r="I59" s="746">
        <f>+L12</f>
        <v>300</v>
      </c>
      <c r="J59" s="543">
        <f t="shared" si="5"/>
        <v>0</v>
      </c>
      <c r="K59" s="545" t="str">
        <f t="shared" si="6"/>
        <v/>
      </c>
      <c r="L59" s="841"/>
      <c r="M59" s="539"/>
      <c r="N59" s="4"/>
      <c r="O59" s="4"/>
      <c r="P59" s="4"/>
    </row>
    <row r="60" spans="1:16" x14ac:dyDescent="0.2">
      <c r="A60" s="551">
        <v>5211</v>
      </c>
      <c r="B60" s="540" t="s">
        <v>187</v>
      </c>
      <c r="C60" s="544">
        <v>5066.71</v>
      </c>
      <c r="D60" s="544">
        <v>6228.7</v>
      </c>
      <c r="E60" s="544">
        <v>6567.25</v>
      </c>
      <c r="H60" s="569">
        <f>+J15</f>
        <v>7000</v>
      </c>
      <c r="I60" s="746">
        <f t="shared" ref="I60:I79" si="8">+L15</f>
        <v>1250</v>
      </c>
      <c r="J60" s="543">
        <f t="shared" si="5"/>
        <v>-5750</v>
      </c>
      <c r="K60" s="545">
        <f t="shared" si="6"/>
        <v>-0.82140000000000002</v>
      </c>
      <c r="L60" s="841" t="s">
        <v>1512</v>
      </c>
      <c r="M60" s="539"/>
      <c r="N60" s="4"/>
      <c r="O60" s="4"/>
      <c r="P60" s="4"/>
    </row>
    <row r="61" spans="1:16" hidden="1" x14ac:dyDescent="0.2">
      <c r="A61" s="551">
        <v>5213</v>
      </c>
      <c r="B61" s="540" t="s">
        <v>766</v>
      </c>
      <c r="C61" s="544"/>
      <c r="D61" s="544">
        <v>806.93</v>
      </c>
      <c r="E61" s="544"/>
      <c r="H61" s="569">
        <f t="shared" ref="H61:H79" si="9">+J16</f>
        <v>0</v>
      </c>
      <c r="I61" s="746">
        <f t="shared" si="8"/>
        <v>0</v>
      </c>
      <c r="J61" s="543">
        <f t="shared" si="5"/>
        <v>0</v>
      </c>
      <c r="K61" s="545" t="str">
        <f t="shared" si="6"/>
        <v/>
      </c>
      <c r="L61" s="841"/>
      <c r="M61" s="539"/>
      <c r="N61" s="4"/>
      <c r="O61" s="4"/>
      <c r="P61" s="4"/>
    </row>
    <row r="62" spans="1:16" x14ac:dyDescent="0.2">
      <c r="A62" s="551">
        <v>5214</v>
      </c>
      <c r="B62" s="540" t="s">
        <v>710</v>
      </c>
      <c r="C62" s="544">
        <v>537.37</v>
      </c>
      <c r="D62" s="544">
        <v>648.83000000000004</v>
      </c>
      <c r="E62" s="544">
        <v>618.26</v>
      </c>
      <c r="H62" s="569">
        <f t="shared" si="9"/>
        <v>790</v>
      </c>
      <c r="I62" s="746">
        <f t="shared" si="8"/>
        <v>950</v>
      </c>
      <c r="J62" s="543">
        <f t="shared" si="5"/>
        <v>160</v>
      </c>
      <c r="K62" s="545">
        <f t="shared" si="6"/>
        <v>0.20250000000000001</v>
      </c>
      <c r="L62" s="841" t="s">
        <v>1513</v>
      </c>
      <c r="M62" s="539"/>
      <c r="N62" s="4"/>
      <c r="O62" s="4"/>
      <c r="P62" s="4"/>
    </row>
    <row r="63" spans="1:16" x14ac:dyDescent="0.2">
      <c r="A63" s="551">
        <v>5231</v>
      </c>
      <c r="B63" s="540" t="s">
        <v>189</v>
      </c>
      <c r="C63" s="544">
        <v>403.2</v>
      </c>
      <c r="D63" s="544">
        <v>146</v>
      </c>
      <c r="E63" s="544">
        <v>219.2</v>
      </c>
      <c r="H63" s="569">
        <f t="shared" si="9"/>
        <v>500</v>
      </c>
      <c r="I63" s="746">
        <f t="shared" si="8"/>
        <v>500</v>
      </c>
      <c r="J63" s="543">
        <f t="shared" si="5"/>
        <v>0</v>
      </c>
      <c r="K63" s="545" t="str">
        <f t="shared" si="6"/>
        <v/>
      </c>
      <c r="L63" s="841"/>
      <c r="M63" s="539"/>
      <c r="N63" s="4"/>
      <c r="O63" s="4"/>
      <c r="P63" s="4"/>
    </row>
    <row r="64" spans="1:16" x14ac:dyDescent="0.2">
      <c r="A64" s="551">
        <v>5241</v>
      </c>
      <c r="B64" s="540" t="s">
        <v>698</v>
      </c>
      <c r="C64" s="544">
        <v>5585.18</v>
      </c>
      <c r="D64" s="544">
        <v>4307.68</v>
      </c>
      <c r="E64" s="544">
        <v>2060.39</v>
      </c>
      <c r="H64" s="569">
        <f t="shared" si="9"/>
        <v>5000</v>
      </c>
      <c r="I64" s="746">
        <f t="shared" si="8"/>
        <v>8000</v>
      </c>
      <c r="J64" s="543">
        <f t="shared" si="5"/>
        <v>3000</v>
      </c>
      <c r="K64" s="545">
        <f t="shared" si="6"/>
        <v>0.6</v>
      </c>
      <c r="L64" s="842" t="s">
        <v>1514</v>
      </c>
      <c r="M64" s="539"/>
      <c r="N64" s="4"/>
      <c r="O64" s="4"/>
      <c r="P64" s="4"/>
    </row>
    <row r="65" spans="1:16" x14ac:dyDescent="0.2">
      <c r="A65" s="551">
        <v>5251</v>
      </c>
      <c r="B65" s="540" t="s">
        <v>213</v>
      </c>
      <c r="C65" s="544">
        <v>740.5</v>
      </c>
      <c r="D65" s="544">
        <v>1025.08</v>
      </c>
      <c r="E65" s="544">
        <v>368.69</v>
      </c>
      <c r="H65" s="569">
        <f t="shared" si="9"/>
        <v>1550</v>
      </c>
      <c r="I65" s="746">
        <f t="shared" si="8"/>
        <v>2000</v>
      </c>
      <c r="J65" s="543">
        <f t="shared" si="5"/>
        <v>450</v>
      </c>
      <c r="K65" s="545">
        <f t="shared" si="6"/>
        <v>0.2903</v>
      </c>
      <c r="L65" s="842" t="s">
        <v>1515</v>
      </c>
      <c r="M65" s="539"/>
      <c r="N65" s="4"/>
      <c r="O65" s="4"/>
      <c r="P65" s="4"/>
    </row>
    <row r="66" spans="1:16" x14ac:dyDescent="0.2">
      <c r="A66" s="551">
        <v>5275</v>
      </c>
      <c r="B66" s="540" t="s">
        <v>206</v>
      </c>
      <c r="C66" s="544">
        <v>3574</v>
      </c>
      <c r="D66" s="544">
        <v>5884</v>
      </c>
      <c r="E66" s="544">
        <v>9987.5</v>
      </c>
      <c r="H66" s="569">
        <f t="shared" si="9"/>
        <v>1000</v>
      </c>
      <c r="I66" s="746">
        <f t="shared" si="8"/>
        <v>1100</v>
      </c>
      <c r="J66" s="543">
        <f t="shared" si="5"/>
        <v>100</v>
      </c>
      <c r="K66" s="545">
        <f t="shared" si="6"/>
        <v>0.1</v>
      </c>
      <c r="L66" s="842"/>
      <c r="M66" s="539"/>
      <c r="N66" s="4"/>
      <c r="O66" s="4"/>
      <c r="P66" s="4"/>
    </row>
    <row r="67" spans="1:16" x14ac:dyDescent="0.2">
      <c r="A67" s="551">
        <v>5302</v>
      </c>
      <c r="B67" s="540" t="s">
        <v>146</v>
      </c>
      <c r="C67" s="544">
        <v>391</v>
      </c>
      <c r="D67" s="544">
        <v>238</v>
      </c>
      <c r="E67" s="544">
        <v>17</v>
      </c>
      <c r="H67" s="569">
        <f t="shared" si="9"/>
        <v>750</v>
      </c>
      <c r="I67" s="746">
        <f t="shared" si="8"/>
        <v>0</v>
      </c>
      <c r="J67" s="745">
        <f t="shared" si="5"/>
        <v>-750</v>
      </c>
      <c r="K67" s="545">
        <f t="shared" si="6"/>
        <v>-1</v>
      </c>
      <c r="L67" s="842" t="s">
        <v>1516</v>
      </c>
      <c r="M67" s="539"/>
      <c r="N67" s="4"/>
      <c r="O67" s="4"/>
      <c r="P67" s="4"/>
    </row>
    <row r="68" spans="1:16" x14ac:dyDescent="0.2">
      <c r="A68" s="551">
        <v>5314</v>
      </c>
      <c r="B68" s="540" t="s">
        <v>612</v>
      </c>
      <c r="C68" s="544">
        <v>189</v>
      </c>
      <c r="D68" s="544">
        <v>240</v>
      </c>
      <c r="E68" s="544"/>
      <c r="H68" s="569">
        <f t="shared" si="9"/>
        <v>450</v>
      </c>
      <c r="I68" s="746">
        <f t="shared" si="8"/>
        <v>500</v>
      </c>
      <c r="J68" s="543">
        <f t="shared" si="5"/>
        <v>50</v>
      </c>
      <c r="K68" s="545">
        <f t="shared" si="6"/>
        <v>0.1111</v>
      </c>
      <c r="L68" s="842"/>
      <c r="M68" s="539"/>
      <c r="N68" s="4"/>
      <c r="O68" s="4"/>
      <c r="P68" s="4"/>
    </row>
    <row r="69" spans="1:16" x14ac:dyDescent="0.2">
      <c r="A69" s="551">
        <v>5315</v>
      </c>
      <c r="B69" s="540" t="s">
        <v>127</v>
      </c>
      <c r="C69" s="544">
        <v>175</v>
      </c>
      <c r="D69" s="544">
        <v>0</v>
      </c>
      <c r="E69" s="544"/>
      <c r="H69" s="569">
        <f t="shared" si="9"/>
        <v>500</v>
      </c>
      <c r="I69" s="746">
        <f t="shared" si="8"/>
        <v>500</v>
      </c>
      <c r="J69" s="543">
        <f t="shared" si="5"/>
        <v>0</v>
      </c>
      <c r="K69" s="545" t="str">
        <f t="shared" si="6"/>
        <v/>
      </c>
      <c r="L69" s="842"/>
      <c r="M69" s="539"/>
      <c r="N69" s="4"/>
      <c r="O69" s="4"/>
      <c r="P69" s="4"/>
    </row>
    <row r="70" spans="1:16" x14ac:dyDescent="0.2">
      <c r="A70" s="551">
        <v>5341</v>
      </c>
      <c r="B70" s="540" t="s">
        <v>136</v>
      </c>
      <c r="C70" s="544">
        <v>824.55</v>
      </c>
      <c r="D70" s="544">
        <v>813.4</v>
      </c>
      <c r="E70" s="544">
        <v>808.28</v>
      </c>
      <c r="H70" s="569">
        <f t="shared" si="9"/>
        <v>1550</v>
      </c>
      <c r="I70" s="746">
        <f t="shared" si="8"/>
        <v>1650</v>
      </c>
      <c r="J70" s="543">
        <f t="shared" si="5"/>
        <v>100</v>
      </c>
      <c r="K70" s="545">
        <f t="shared" si="6"/>
        <v>6.4500000000000002E-2</v>
      </c>
      <c r="L70" s="842"/>
      <c r="M70" s="539"/>
      <c r="N70" s="4"/>
      <c r="O70" s="4"/>
      <c r="P70" s="4"/>
    </row>
    <row r="71" spans="1:16" x14ac:dyDescent="0.2">
      <c r="A71" s="551">
        <v>5344</v>
      </c>
      <c r="B71" s="540" t="s">
        <v>137</v>
      </c>
      <c r="C71" s="544">
        <v>82.22</v>
      </c>
      <c r="D71" s="544">
        <v>33.18</v>
      </c>
      <c r="E71" s="544">
        <v>47.61</v>
      </c>
      <c r="H71" s="569">
        <f t="shared" si="9"/>
        <v>100</v>
      </c>
      <c r="I71" s="746">
        <f t="shared" si="8"/>
        <v>125</v>
      </c>
      <c r="J71" s="543">
        <f t="shared" si="5"/>
        <v>25</v>
      </c>
      <c r="K71" s="545">
        <f t="shared" si="6"/>
        <v>0.25</v>
      </c>
      <c r="L71" s="842" t="s">
        <v>1517</v>
      </c>
      <c r="M71" s="539"/>
      <c r="N71" s="4"/>
      <c r="O71" s="4"/>
      <c r="P71" s="4"/>
    </row>
    <row r="72" spans="1:16" x14ac:dyDescent="0.2">
      <c r="A72" s="551">
        <v>5345</v>
      </c>
      <c r="B72" s="540" t="s">
        <v>138</v>
      </c>
      <c r="C72" s="536"/>
      <c r="D72" s="544">
        <v>796.78</v>
      </c>
      <c r="E72" s="544"/>
      <c r="H72" s="569">
        <f t="shared" si="9"/>
        <v>1250</v>
      </c>
      <c r="I72" s="746">
        <f t="shared" si="8"/>
        <v>1250</v>
      </c>
      <c r="J72" s="543">
        <f t="shared" si="5"/>
        <v>0</v>
      </c>
      <c r="K72" s="545" t="str">
        <f t="shared" si="6"/>
        <v/>
      </c>
      <c r="L72" s="842"/>
      <c r="M72" s="539"/>
      <c r="N72" s="4"/>
      <c r="O72" s="4"/>
      <c r="P72" s="4"/>
    </row>
    <row r="73" spans="1:16" x14ac:dyDescent="0.2">
      <c r="A73" s="551">
        <v>5420</v>
      </c>
      <c r="B73" s="540" t="s">
        <v>139</v>
      </c>
      <c r="C73" s="536">
        <v>175.79</v>
      </c>
      <c r="D73" s="544">
        <v>124.86</v>
      </c>
      <c r="E73" s="544">
        <v>221.12</v>
      </c>
      <c r="H73" s="569">
        <f t="shared" si="9"/>
        <v>750</v>
      </c>
      <c r="I73" s="746">
        <f t="shared" si="8"/>
        <v>800</v>
      </c>
      <c r="J73" s="543">
        <f t="shared" si="5"/>
        <v>50</v>
      </c>
      <c r="K73" s="545">
        <f t="shared" si="6"/>
        <v>6.6699999999999995E-2</v>
      </c>
      <c r="L73" s="842"/>
      <c r="M73" s="539"/>
      <c r="N73" s="4"/>
      <c r="O73" s="4"/>
      <c r="P73" s="4"/>
    </row>
    <row r="74" spans="1:16" x14ac:dyDescent="0.2">
      <c r="A74" s="551">
        <v>5443</v>
      </c>
      <c r="B74" s="540" t="s">
        <v>196</v>
      </c>
      <c r="C74" s="544">
        <v>48.61</v>
      </c>
      <c r="D74" s="536">
        <v>0</v>
      </c>
      <c r="E74" s="536"/>
      <c r="H74" s="569">
        <f t="shared" si="9"/>
        <v>550</v>
      </c>
      <c r="I74" s="746">
        <f t="shared" si="8"/>
        <v>850</v>
      </c>
      <c r="J74" s="543">
        <f t="shared" si="5"/>
        <v>300</v>
      </c>
      <c r="K74" s="545">
        <f t="shared" si="6"/>
        <v>0.54549999999999998</v>
      </c>
      <c r="L74" s="842" t="s">
        <v>1518</v>
      </c>
      <c r="M74" s="539"/>
      <c r="N74" s="4"/>
      <c r="O74" s="4"/>
      <c r="P74" s="4"/>
    </row>
    <row r="75" spans="1:16" x14ac:dyDescent="0.2">
      <c r="A75" s="551">
        <v>5500</v>
      </c>
      <c r="B75" s="540" t="s">
        <v>767</v>
      </c>
      <c r="C75" s="536"/>
      <c r="D75" s="536">
        <v>113.67</v>
      </c>
      <c r="E75" s="536">
        <v>500</v>
      </c>
      <c r="H75" s="569">
        <f t="shared" si="9"/>
        <v>600</v>
      </c>
      <c r="I75" s="746">
        <f t="shared" si="8"/>
        <v>650</v>
      </c>
      <c r="J75" s="543">
        <f t="shared" si="5"/>
        <v>50</v>
      </c>
      <c r="K75" s="545">
        <f t="shared" si="6"/>
        <v>8.3299999999999999E-2</v>
      </c>
      <c r="L75" s="842"/>
      <c r="M75" s="539"/>
      <c r="N75" s="4"/>
      <c r="O75" s="4"/>
      <c r="P75" s="4"/>
    </row>
    <row r="76" spans="1:16" x14ac:dyDescent="0.2">
      <c r="A76" s="551">
        <v>5582</v>
      </c>
      <c r="B76" s="540" t="s">
        <v>1125</v>
      </c>
      <c r="C76" s="536"/>
      <c r="D76" s="536"/>
      <c r="E76" s="536"/>
      <c r="H76" s="569">
        <f t="shared" si="9"/>
        <v>300</v>
      </c>
      <c r="I76" s="746">
        <f t="shared" si="8"/>
        <v>300</v>
      </c>
      <c r="J76" s="543"/>
      <c r="K76" s="545" t="str">
        <f t="shared" si="6"/>
        <v/>
      </c>
      <c r="L76" s="842"/>
      <c r="M76" s="539"/>
      <c r="N76" s="4"/>
      <c r="O76" s="4"/>
      <c r="P76" s="4"/>
    </row>
    <row r="77" spans="1:16" x14ac:dyDescent="0.2">
      <c r="A77" s="551">
        <v>5710</v>
      </c>
      <c r="B77" s="540" t="s">
        <v>529</v>
      </c>
      <c r="C77" s="536">
        <v>432.52</v>
      </c>
      <c r="D77" s="544">
        <v>358.6</v>
      </c>
      <c r="E77" s="544">
        <v>213.5</v>
      </c>
      <c r="H77" s="569">
        <f t="shared" si="9"/>
        <v>550</v>
      </c>
      <c r="I77" s="746">
        <f t="shared" si="8"/>
        <v>950</v>
      </c>
      <c r="J77" s="543">
        <f>+I77-H77</f>
        <v>400</v>
      </c>
      <c r="K77" s="545">
        <f t="shared" si="6"/>
        <v>0.72729999999999995</v>
      </c>
      <c r="L77" s="842" t="s">
        <v>1519</v>
      </c>
      <c r="M77" s="539"/>
      <c r="N77" s="4"/>
      <c r="O77" s="4"/>
      <c r="P77" s="4"/>
    </row>
    <row r="78" spans="1:16" x14ac:dyDescent="0.2">
      <c r="A78" s="551">
        <v>5730</v>
      </c>
      <c r="B78" s="540" t="s">
        <v>993</v>
      </c>
      <c r="C78" s="550"/>
      <c r="D78" s="544"/>
      <c r="E78" s="544"/>
      <c r="H78" s="569">
        <f t="shared" si="9"/>
        <v>350</v>
      </c>
      <c r="I78" s="746">
        <f t="shared" si="8"/>
        <v>400</v>
      </c>
      <c r="J78" s="543">
        <f>+I78-H78</f>
        <v>50</v>
      </c>
      <c r="K78" s="545">
        <f t="shared" si="6"/>
        <v>0.1429</v>
      </c>
      <c r="L78" s="842"/>
      <c r="M78" s="539"/>
      <c r="N78" s="4"/>
      <c r="O78" s="4"/>
      <c r="P78" s="4"/>
    </row>
    <row r="79" spans="1:16" ht="13.5" thickBot="1" x14ac:dyDescent="0.25">
      <c r="A79" s="551">
        <v>5740</v>
      </c>
      <c r="B79" s="540" t="s">
        <v>149</v>
      </c>
      <c r="C79" s="542">
        <v>4569</v>
      </c>
      <c r="D79" s="567">
        <v>4735</v>
      </c>
      <c r="E79" s="567">
        <f>175+4225</f>
        <v>4400</v>
      </c>
      <c r="H79" s="569">
        <f t="shared" si="9"/>
        <v>3500</v>
      </c>
      <c r="I79" s="746">
        <f t="shared" si="8"/>
        <v>4250</v>
      </c>
      <c r="J79" s="543">
        <f>+I79-H79</f>
        <v>750</v>
      </c>
      <c r="K79" s="545">
        <f t="shared" si="6"/>
        <v>0.21429999999999999</v>
      </c>
      <c r="L79" s="842" t="s">
        <v>1520</v>
      </c>
      <c r="M79" s="539"/>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t="s">
        <v>1600</v>
      </c>
      <c r="C81" s="25"/>
      <c r="D81" s="25"/>
      <c r="E81" s="25"/>
      <c r="F81" s="25"/>
      <c r="G81" s="25"/>
      <c r="H81" s="849">
        <f>SUM(H56:H79)</f>
        <v>53290</v>
      </c>
      <c r="I81" s="849">
        <f>SUM(I56:I79)</f>
        <v>55694</v>
      </c>
      <c r="J81" s="208">
        <f t="shared" ref="J81" si="10">+I81-H81</f>
        <v>2404</v>
      </c>
      <c r="K81" s="850">
        <f t="shared" ref="K81" si="11">IF(H81+I81&lt;&gt;0,IF(H81&lt;&gt;0,IF(J81&lt;&gt;0,ROUND((+J81/H81),4),""),1),"")</f>
        <v>4.5100000000000001E-2</v>
      </c>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C83" s="121"/>
    </row>
    <row r="84" spans="1:16" x14ac:dyDescent="0.2">
      <c r="C84" s="121"/>
    </row>
    <row r="85" spans="1:16" x14ac:dyDescent="0.2">
      <c r="C85" s="121"/>
    </row>
    <row r="86" spans="1:16" x14ac:dyDescent="0.2">
      <c r="C86" s="121"/>
    </row>
    <row r="87" spans="1:16" x14ac:dyDescent="0.2">
      <c r="C87" s="121"/>
    </row>
    <row r="88" spans="1:16" x14ac:dyDescent="0.2">
      <c r="C88" s="121"/>
    </row>
    <row r="89" spans="1:16" x14ac:dyDescent="0.2">
      <c r="C89" s="121"/>
    </row>
    <row r="90" spans="1:16" x14ac:dyDescent="0.2">
      <c r="C90" s="121"/>
    </row>
    <row r="91" spans="1:16" x14ac:dyDescent="0.2">
      <c r="C91" s="121"/>
    </row>
    <row r="92" spans="1:16" x14ac:dyDescent="0.2">
      <c r="C92" s="121"/>
    </row>
    <row r="93" spans="1:16" x14ac:dyDescent="0.2">
      <c r="C93" s="121"/>
    </row>
    <row r="94" spans="1:16" x14ac:dyDescent="0.2">
      <c r="C94" s="121"/>
    </row>
    <row r="95" spans="1:16" x14ac:dyDescent="0.2">
      <c r="C95" s="121"/>
    </row>
    <row r="96" spans="1:16" x14ac:dyDescent="0.2">
      <c r="C96" s="121"/>
    </row>
    <row r="97" spans="3:3" x14ac:dyDescent="0.2">
      <c r="C97" s="121"/>
    </row>
    <row r="98" spans="3:3" x14ac:dyDescent="0.2">
      <c r="C98" s="121"/>
    </row>
    <row r="99" spans="3:3" x14ac:dyDescent="0.2">
      <c r="C99" s="121"/>
    </row>
    <row r="100" spans="3:3" x14ac:dyDescent="0.2">
      <c r="C100" s="121"/>
    </row>
    <row r="101" spans="3:3" x14ac:dyDescent="0.2">
      <c r="C101" s="121"/>
    </row>
    <row r="102" spans="3:3" x14ac:dyDescent="0.2">
      <c r="C102" s="121"/>
    </row>
    <row r="103" spans="3:3" x14ac:dyDescent="0.2">
      <c r="C103" s="121"/>
    </row>
    <row r="104" spans="3:3" x14ac:dyDescent="0.2">
      <c r="C104" s="121"/>
    </row>
    <row r="105" spans="3:3" x14ac:dyDescent="0.2">
      <c r="C105" s="121"/>
    </row>
    <row r="106" spans="3:3" x14ac:dyDescent="0.2">
      <c r="C106" s="121"/>
    </row>
    <row r="107" spans="3:3" x14ac:dyDescent="0.2">
      <c r="C107" s="121"/>
    </row>
    <row r="108" spans="3:3" x14ac:dyDescent="0.2">
      <c r="C108" s="121"/>
    </row>
    <row r="109" spans="3:3" x14ac:dyDescent="0.2">
      <c r="C109" s="121"/>
    </row>
    <row r="110" spans="3:3" x14ac:dyDescent="0.2">
      <c r="C110" s="121"/>
    </row>
    <row r="111" spans="3:3" x14ac:dyDescent="0.2">
      <c r="C111" s="121"/>
    </row>
    <row r="112" spans="3:3"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sheetData>
  <phoneticPr fontId="0" type="noConversion"/>
  <hyperlinks>
    <hyperlink ref="A1" location="'Working Budget with funding det'!A1" display="Main "/>
    <hyperlink ref="B1" location="'Table of Contents'!A1" display="TOC"/>
  </hyperlinks>
  <pageMargins left="0.75" right="0.5" top="0.75" bottom="0.75" header="0.5" footer="0.5"/>
  <pageSetup fitToHeight="2" orientation="landscape" horizontalDpi="300" verticalDpi="300" r:id="rId1"/>
  <headerFooter alignWithMargins="0">
    <oddFooter>&amp;L&amp;D     &amp;T&amp;C&amp;F&amp;R&amp;A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zoomScale="85" zoomScaleNormal="85" workbookViewId="0">
      <pane ySplit="7" topLeftCell="A77" activePane="bottomLeft" state="frozen"/>
      <selection activeCell="K15" sqref="K15"/>
      <selection pane="bottomLeft" activeCell="L36" sqref="L36"/>
    </sheetView>
  </sheetViews>
  <sheetFormatPr defaultRowHeight="12.75" x14ac:dyDescent="0.2"/>
  <cols>
    <col min="1" max="1" width="12.5" customWidth="1"/>
    <col min="2" max="2" width="36.6640625" customWidth="1"/>
    <col min="3" max="3" width="15.83203125" style="1" hidden="1" customWidth="1"/>
    <col min="4" max="7" width="15.5" style="121" hidden="1" customWidth="1"/>
    <col min="8" max="10" width="15.5" style="121" customWidth="1"/>
    <col min="11" max="11" width="14.5" customWidth="1"/>
    <col min="12" max="13" width="14.5" style="1" customWidth="1"/>
  </cols>
  <sheetData>
    <row r="1" spans="1:13" x14ac:dyDescent="0.2">
      <c r="A1" s="410" t="s">
        <v>1013</v>
      </c>
      <c r="B1" s="410" t="s">
        <v>1418</v>
      </c>
    </row>
    <row r="2" spans="1:13" ht="15" x14ac:dyDescent="0.25">
      <c r="A2" s="49" t="s">
        <v>264</v>
      </c>
      <c r="B2" s="49"/>
      <c r="E2" s="153"/>
      <c r="H2" s="153" t="s">
        <v>252</v>
      </c>
      <c r="I2" s="153"/>
      <c r="J2" s="153"/>
      <c r="K2" s="67" t="s">
        <v>265</v>
      </c>
      <c r="L2" s="50" t="s">
        <v>502</v>
      </c>
    </row>
    <row r="3" spans="1:13" ht="13.5" thickBot="1" x14ac:dyDescent="0.25">
      <c r="A3" s="4"/>
      <c r="B3" s="4"/>
      <c r="C3" s="25"/>
      <c r="D3" s="25"/>
      <c r="E3" s="25"/>
      <c r="F3" s="25"/>
      <c r="G3" s="25"/>
      <c r="H3" s="25"/>
      <c r="I3" s="25"/>
      <c r="J3" s="25"/>
      <c r="K3" s="4"/>
      <c r="L3" s="25"/>
      <c r="M3" s="4"/>
    </row>
    <row r="4" spans="1:13"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3" x14ac:dyDescent="0.2">
      <c r="A5" s="93"/>
      <c r="B5" s="216"/>
      <c r="C5" s="137"/>
      <c r="D5" s="94"/>
      <c r="E5" s="120"/>
      <c r="F5" s="94"/>
      <c r="G5" s="94"/>
      <c r="H5" s="120"/>
      <c r="I5" s="449"/>
      <c r="J5" s="449"/>
      <c r="K5" s="120" t="s">
        <v>509</v>
      </c>
      <c r="L5" s="95" t="s">
        <v>265</v>
      </c>
      <c r="M5" s="209" t="s">
        <v>783</v>
      </c>
    </row>
    <row r="6" spans="1:13" x14ac:dyDescent="0.2">
      <c r="A6" s="93"/>
      <c r="B6" s="216"/>
      <c r="C6" s="118"/>
      <c r="D6" s="137"/>
      <c r="E6" s="137"/>
      <c r="F6" s="137"/>
      <c r="G6" s="137"/>
      <c r="H6" s="137"/>
      <c r="I6" s="370"/>
      <c r="J6" s="370"/>
      <c r="K6" s="94"/>
      <c r="L6" s="95" t="s">
        <v>657</v>
      </c>
      <c r="M6" s="51" t="s">
        <v>537</v>
      </c>
    </row>
    <row r="7" spans="1:13" ht="13.5" thickBot="1" x14ac:dyDescent="0.25">
      <c r="A7" s="8" t="s">
        <v>123</v>
      </c>
      <c r="B7" s="89"/>
      <c r="C7" s="338" t="s">
        <v>334</v>
      </c>
      <c r="D7" s="338" t="s">
        <v>718</v>
      </c>
      <c r="E7" s="88" t="s">
        <v>734</v>
      </c>
      <c r="F7" s="88" t="s">
        <v>791</v>
      </c>
      <c r="G7" s="88" t="s">
        <v>881</v>
      </c>
      <c r="H7" s="88" t="s">
        <v>1010</v>
      </c>
      <c r="I7" s="88" t="s">
        <v>1072</v>
      </c>
      <c r="J7" s="88" t="s">
        <v>899</v>
      </c>
      <c r="K7" s="146">
        <v>43830</v>
      </c>
      <c r="L7" s="88" t="s">
        <v>1240</v>
      </c>
      <c r="M7" s="9" t="s">
        <v>541</v>
      </c>
    </row>
    <row r="8" spans="1:13" ht="13.5" thickTop="1" x14ac:dyDescent="0.2">
      <c r="A8" s="10"/>
      <c r="B8" s="192"/>
      <c r="C8" s="139"/>
      <c r="D8" s="345"/>
      <c r="E8" s="345"/>
      <c r="F8" s="345"/>
      <c r="G8" s="345"/>
      <c r="H8" s="345"/>
      <c r="I8" s="238"/>
      <c r="J8" s="238"/>
      <c r="K8" s="68"/>
      <c r="L8" s="37"/>
      <c r="M8" s="37"/>
    </row>
    <row r="9" spans="1:13" x14ac:dyDescent="0.2">
      <c r="A9" s="12">
        <v>5110</v>
      </c>
      <c r="B9" s="117" t="s">
        <v>982</v>
      </c>
      <c r="C9" s="140">
        <v>296676.09999999998</v>
      </c>
      <c r="D9" s="14">
        <v>317703.17</v>
      </c>
      <c r="E9" s="14">
        <f>9155+388922.89</f>
        <v>398077.89</v>
      </c>
      <c r="F9" s="14">
        <f>11469+373319.32</f>
        <v>384788.32</v>
      </c>
      <c r="G9" s="14">
        <v>344810.16</v>
      </c>
      <c r="H9" s="14">
        <v>364652.43</v>
      </c>
      <c r="I9" s="156">
        <f>85.6+362920.23</f>
        <v>363005.82999999996</v>
      </c>
      <c r="J9" s="132">
        <f>3396+562+3214+378850</f>
        <v>386022</v>
      </c>
      <c r="K9" s="14">
        <v>183472.19</v>
      </c>
      <c r="L9" s="132">
        <f>ROUND((+SUM(K52:K60)),0)</f>
        <v>398012</v>
      </c>
      <c r="M9" s="15"/>
    </row>
    <row r="10" spans="1:13" x14ac:dyDescent="0.2">
      <c r="A10" s="12">
        <v>5132</v>
      </c>
      <c r="B10" s="69" t="s">
        <v>968</v>
      </c>
      <c r="C10" s="140">
        <v>40622.949999999997</v>
      </c>
      <c r="D10" s="14">
        <v>47734.400000000001</v>
      </c>
      <c r="E10" s="14">
        <v>53816.19</v>
      </c>
      <c r="F10" s="14">
        <v>49287.91</v>
      </c>
      <c r="G10" s="14">
        <v>41580.33</v>
      </c>
      <c r="H10" s="14">
        <v>37781.25</v>
      </c>
      <c r="I10" s="14">
        <v>37235.25</v>
      </c>
      <c r="J10" s="15">
        <v>40000</v>
      </c>
      <c r="K10" s="14">
        <v>17994.66</v>
      </c>
      <c r="L10" s="15">
        <v>45000</v>
      </c>
      <c r="M10" s="15"/>
    </row>
    <row r="11" spans="1:13" x14ac:dyDescent="0.2">
      <c r="A11" s="12">
        <v>5140</v>
      </c>
      <c r="B11" s="69" t="s">
        <v>983</v>
      </c>
      <c r="C11" s="813">
        <v>8578.26</v>
      </c>
      <c r="D11" s="108">
        <v>7749.24</v>
      </c>
      <c r="E11" s="492">
        <f>-2212.7+8969.83</f>
        <v>6757.13</v>
      </c>
      <c r="F11" s="108">
        <f>-1514.61+8288.9</f>
        <v>6774.29</v>
      </c>
      <c r="G11" s="108">
        <v>11218.94</v>
      </c>
      <c r="H11" s="108">
        <v>11132.47</v>
      </c>
      <c r="I11" s="108">
        <f>4.3+10974.32</f>
        <v>10978.619999999999</v>
      </c>
      <c r="J11" s="65">
        <f>1270+10500</f>
        <v>11770</v>
      </c>
      <c r="K11" s="108">
        <v>6476.47</v>
      </c>
      <c r="L11" s="65">
        <v>14000</v>
      </c>
      <c r="M11" s="65"/>
    </row>
    <row r="12" spans="1:13" x14ac:dyDescent="0.2">
      <c r="A12" s="12">
        <v>5193</v>
      </c>
      <c r="B12" s="69" t="s">
        <v>695</v>
      </c>
      <c r="C12" s="813"/>
      <c r="D12" s="108"/>
      <c r="E12" s="108"/>
      <c r="F12" s="108">
        <v>8903.26</v>
      </c>
      <c r="G12" s="108">
        <v>6177.6</v>
      </c>
      <c r="H12" s="108">
        <v>3999.44</v>
      </c>
      <c r="I12" s="108">
        <v>0</v>
      </c>
      <c r="J12" s="490"/>
      <c r="K12" s="108">
        <v>1022.8</v>
      </c>
      <c r="L12" s="490"/>
      <c r="M12" s="65"/>
    </row>
    <row r="13" spans="1:13" ht="13.5" thickBot="1" x14ac:dyDescent="0.25">
      <c r="A13" s="12">
        <v>5194</v>
      </c>
      <c r="B13" s="69" t="s">
        <v>221</v>
      </c>
      <c r="C13" s="814"/>
      <c r="D13" s="400"/>
      <c r="E13" s="400"/>
      <c r="F13" s="400">
        <v>3500</v>
      </c>
      <c r="G13" s="400">
        <v>1167.19</v>
      </c>
      <c r="H13" s="400"/>
      <c r="I13" s="400">
        <v>0</v>
      </c>
      <c r="J13" s="491"/>
      <c r="K13" s="400">
        <v>3500</v>
      </c>
      <c r="L13" s="491"/>
      <c r="M13" s="401"/>
    </row>
    <row r="14" spans="1:13" x14ac:dyDescent="0.2">
      <c r="A14" s="12"/>
      <c r="B14" s="70" t="s">
        <v>125</v>
      </c>
      <c r="C14" s="142">
        <f t="shared" ref="C14:L14" si="0">SUM(C9:C13)</f>
        <v>345877.31</v>
      </c>
      <c r="D14" s="19">
        <f t="shared" si="0"/>
        <v>373186.81</v>
      </c>
      <c r="E14" s="19">
        <f t="shared" si="0"/>
        <v>458651.21</v>
      </c>
      <c r="F14" s="19">
        <f t="shared" si="0"/>
        <v>453253.77999999997</v>
      </c>
      <c r="G14" s="19">
        <f t="shared" si="0"/>
        <v>404954.22</v>
      </c>
      <c r="H14" s="19">
        <f t="shared" si="0"/>
        <v>417565.58999999997</v>
      </c>
      <c r="I14" s="19">
        <f t="shared" si="0"/>
        <v>411219.69999999995</v>
      </c>
      <c r="J14" s="38">
        <f t="shared" ref="J14" si="1">SUM(J9:J13)</f>
        <v>437792</v>
      </c>
      <c r="K14" s="19">
        <f t="shared" si="0"/>
        <v>212466.12</v>
      </c>
      <c r="L14" s="38">
        <f t="shared" si="0"/>
        <v>457012</v>
      </c>
      <c r="M14" s="38">
        <f>+L14</f>
        <v>457012</v>
      </c>
    </row>
    <row r="15" spans="1:13" x14ac:dyDescent="0.2">
      <c r="A15" s="12"/>
      <c r="B15" s="69"/>
      <c r="C15" s="140"/>
      <c r="D15" s="14"/>
      <c r="E15" s="14"/>
      <c r="F15" s="14"/>
      <c r="G15" s="14"/>
      <c r="H15" s="14"/>
      <c r="I15" s="14"/>
      <c r="J15" s="15"/>
      <c r="K15" s="14"/>
      <c r="L15" s="15"/>
      <c r="M15" s="15"/>
    </row>
    <row r="16" spans="1:13" x14ac:dyDescent="0.2">
      <c r="A16" s="12">
        <v>5211</v>
      </c>
      <c r="B16" s="69" t="s">
        <v>244</v>
      </c>
      <c r="C16" s="140">
        <v>137014.16</v>
      </c>
      <c r="D16" s="14">
        <v>153979.65</v>
      </c>
      <c r="E16" s="14">
        <v>158236.51</v>
      </c>
      <c r="F16" s="14">
        <v>202830.2</v>
      </c>
      <c r="G16" s="14">
        <v>177304.13</v>
      </c>
      <c r="H16" s="14">
        <v>148421.29</v>
      </c>
      <c r="I16" s="14">
        <v>131404.39000000001</v>
      </c>
      <c r="J16" s="15">
        <v>160000</v>
      </c>
      <c r="K16" s="14">
        <v>55905.39</v>
      </c>
      <c r="L16" s="132">
        <v>140000</v>
      </c>
      <c r="M16" s="15"/>
    </row>
    <row r="17" spans="1:13" x14ac:dyDescent="0.2">
      <c r="A17" s="12">
        <v>5211.1000000000004</v>
      </c>
      <c r="B17" s="69" t="s">
        <v>245</v>
      </c>
      <c r="C17" s="140">
        <v>18658.89</v>
      </c>
      <c r="D17" s="14">
        <v>22524.48</v>
      </c>
      <c r="E17" s="14">
        <v>20914.47</v>
      </c>
      <c r="F17" s="14">
        <v>19466.740000000002</v>
      </c>
      <c r="G17" s="14">
        <v>17307.36</v>
      </c>
      <c r="H17" s="14">
        <v>20107.810000000001</v>
      </c>
      <c r="I17" s="14">
        <v>22051.08</v>
      </c>
      <c r="J17" s="15">
        <v>20000</v>
      </c>
      <c r="K17" s="14">
        <v>9199.1200000000008</v>
      </c>
      <c r="L17" s="132">
        <v>23000</v>
      </c>
      <c r="M17" s="15"/>
    </row>
    <row r="18" spans="1:13" x14ac:dyDescent="0.2">
      <c r="A18" s="12">
        <v>5213</v>
      </c>
      <c r="B18" s="69" t="s">
        <v>994</v>
      </c>
      <c r="C18" s="140">
        <v>6649.98</v>
      </c>
      <c r="D18" s="14">
        <v>21358.57</v>
      </c>
      <c r="E18" s="14">
        <v>11430.85</v>
      </c>
      <c r="F18" s="14">
        <v>12732.56</v>
      </c>
      <c r="G18" s="14">
        <v>9500</v>
      </c>
      <c r="H18" s="14">
        <v>14721.35</v>
      </c>
      <c r="I18" s="14">
        <v>16367.06</v>
      </c>
      <c r="J18" s="15">
        <v>15000</v>
      </c>
      <c r="K18" s="14">
        <v>13620</v>
      </c>
      <c r="L18" s="132">
        <v>16000</v>
      </c>
      <c r="M18" s="15"/>
    </row>
    <row r="19" spans="1:13" x14ac:dyDescent="0.2">
      <c r="A19" s="12">
        <v>5280</v>
      </c>
      <c r="B19" s="13" t="s">
        <v>246</v>
      </c>
      <c r="C19" s="14">
        <v>134216.60999999999</v>
      </c>
      <c r="D19" s="14">
        <v>17243.32</v>
      </c>
      <c r="E19" s="14">
        <v>23212.07</v>
      </c>
      <c r="F19" s="14">
        <v>19009.61</v>
      </c>
      <c r="G19" s="14">
        <v>116440.22</v>
      </c>
      <c r="H19" s="14">
        <v>347935.71</v>
      </c>
      <c r="I19" s="14">
        <v>245056.56</v>
      </c>
      <c r="J19" s="15">
        <f>-45000+200000</f>
        <v>155000</v>
      </c>
      <c r="K19" s="14">
        <v>133466.01</v>
      </c>
      <c r="L19" s="132">
        <v>170000</v>
      </c>
      <c r="M19" s="15"/>
    </row>
    <row r="20" spans="1:13" x14ac:dyDescent="0.2">
      <c r="A20" s="12">
        <v>5300</v>
      </c>
      <c r="B20" s="13" t="s">
        <v>984</v>
      </c>
      <c r="C20" s="14">
        <v>35721.64</v>
      </c>
      <c r="D20" s="14">
        <v>47452.11</v>
      </c>
      <c r="E20" s="14">
        <v>53067.38</v>
      </c>
      <c r="F20" s="14">
        <v>67725.37</v>
      </c>
      <c r="G20" s="14">
        <v>127093.29</v>
      </c>
      <c r="H20" s="14">
        <v>72531.63</v>
      </c>
      <c r="I20" s="14">
        <f>668.5+247.93+118988.1</f>
        <v>119904.53</v>
      </c>
      <c r="J20" s="15">
        <v>90000</v>
      </c>
      <c r="K20" s="14">
        <v>40429.24</v>
      </c>
      <c r="L20" s="132">
        <v>90000</v>
      </c>
      <c r="M20" s="15"/>
    </row>
    <row r="21" spans="1:13" x14ac:dyDescent="0.2">
      <c r="A21" s="12">
        <v>5310</v>
      </c>
      <c r="B21" s="13" t="s">
        <v>995</v>
      </c>
      <c r="C21" s="14">
        <v>12172.69</v>
      </c>
      <c r="D21" s="14">
        <v>14914.04</v>
      </c>
      <c r="E21" s="14">
        <v>14098.49</v>
      </c>
      <c r="F21" s="14">
        <v>21070.639999999999</v>
      </c>
      <c r="G21" s="14">
        <v>5527.94</v>
      </c>
      <c r="H21" s="14">
        <v>6258.04</v>
      </c>
      <c r="I21" s="14">
        <v>7562.31</v>
      </c>
      <c r="J21" s="15">
        <v>6000</v>
      </c>
      <c r="K21" s="14">
        <v>1890.47</v>
      </c>
      <c r="L21" s="15">
        <v>6000</v>
      </c>
      <c r="M21" s="15"/>
    </row>
    <row r="22" spans="1:13" x14ac:dyDescent="0.2">
      <c r="A22" s="12">
        <v>5320</v>
      </c>
      <c r="B22" s="13" t="s">
        <v>985</v>
      </c>
      <c r="C22" s="14">
        <v>4819.55</v>
      </c>
      <c r="D22" s="14">
        <v>3932.01</v>
      </c>
      <c r="E22" s="14">
        <v>3421.26</v>
      </c>
      <c r="F22" s="14">
        <v>4986.45</v>
      </c>
      <c r="G22" s="14">
        <v>370</v>
      </c>
      <c r="H22" s="14">
        <v>2304.7600000000002</v>
      </c>
      <c r="I22" s="14">
        <v>3057.15</v>
      </c>
      <c r="J22" s="15">
        <v>5000</v>
      </c>
      <c r="K22" s="14">
        <v>3488.94</v>
      </c>
      <c r="L22" s="15">
        <v>5000</v>
      </c>
      <c r="M22" s="15"/>
    </row>
    <row r="23" spans="1:13" x14ac:dyDescent="0.2">
      <c r="A23" s="12">
        <v>5340</v>
      </c>
      <c r="B23" s="13" t="s">
        <v>998</v>
      </c>
      <c r="C23" s="14">
        <v>4512.16</v>
      </c>
      <c r="D23" s="14">
        <v>5927.79</v>
      </c>
      <c r="E23" s="14">
        <v>4900.01</v>
      </c>
      <c r="F23" s="14">
        <v>6659.89</v>
      </c>
      <c r="G23" s="14">
        <v>10068.68</v>
      </c>
      <c r="H23" s="14">
        <v>6947.79</v>
      </c>
      <c r="I23" s="14">
        <v>5122.66</v>
      </c>
      <c r="J23" s="15">
        <v>5500</v>
      </c>
      <c r="K23" s="14">
        <v>2343.3200000000002</v>
      </c>
      <c r="L23" s="15">
        <v>5500</v>
      </c>
      <c r="M23" s="15"/>
    </row>
    <row r="24" spans="1:13" x14ac:dyDescent="0.2">
      <c r="A24" s="12">
        <v>5360</v>
      </c>
      <c r="B24" s="13" t="s">
        <v>999</v>
      </c>
      <c r="C24" s="14">
        <v>9859.64</v>
      </c>
      <c r="D24" s="14">
        <v>5291.42</v>
      </c>
      <c r="E24" s="14">
        <v>8758.2900000000009</v>
      </c>
      <c r="F24" s="14">
        <v>2497.3200000000002</v>
      </c>
      <c r="G24" s="14">
        <v>438.84</v>
      </c>
      <c r="H24" s="14">
        <v>833.51</v>
      </c>
      <c r="I24" s="14">
        <v>2535.92</v>
      </c>
      <c r="J24" s="15">
        <v>3000</v>
      </c>
      <c r="K24" s="14">
        <v>57.57</v>
      </c>
      <c r="L24" s="15">
        <v>4000</v>
      </c>
      <c r="M24" s="15"/>
    </row>
    <row r="25" spans="1:13" x14ac:dyDescent="0.2">
      <c r="A25" s="12">
        <v>5370</v>
      </c>
      <c r="B25" s="13" t="s">
        <v>1000</v>
      </c>
      <c r="C25" s="14">
        <v>39750.15</v>
      </c>
      <c r="D25" s="14">
        <v>52934.559999999998</v>
      </c>
      <c r="E25" s="14">
        <v>37319.800000000003</v>
      </c>
      <c r="F25" s="14">
        <v>33062.550000000003</v>
      </c>
      <c r="G25" s="14">
        <v>20465.38</v>
      </c>
      <c r="H25" s="14">
        <v>11041.44</v>
      </c>
      <c r="I25" s="14">
        <v>3300.07</v>
      </c>
      <c r="J25" s="15">
        <v>15000</v>
      </c>
      <c r="K25" s="14">
        <v>625.30999999999995</v>
      </c>
      <c r="L25" s="15">
        <v>18000</v>
      </c>
      <c r="M25" s="15"/>
    </row>
    <row r="26" spans="1:13" x14ac:dyDescent="0.2">
      <c r="A26" s="12">
        <v>5380</v>
      </c>
      <c r="B26" s="13" t="s">
        <v>1001</v>
      </c>
      <c r="C26" s="14">
        <v>11760.01</v>
      </c>
      <c r="D26" s="14">
        <v>11814.95</v>
      </c>
      <c r="E26" s="14">
        <v>9174.5300000000007</v>
      </c>
      <c r="F26" s="14">
        <v>8255.25</v>
      </c>
      <c r="G26" s="14">
        <v>2520.9499999999998</v>
      </c>
      <c r="H26" s="14">
        <v>3482.22</v>
      </c>
      <c r="I26" s="14">
        <v>2718.38</v>
      </c>
      <c r="J26" s="15">
        <v>5000</v>
      </c>
      <c r="K26" s="14">
        <v>2739.66</v>
      </c>
      <c r="L26" s="15">
        <v>6000</v>
      </c>
      <c r="M26" s="15"/>
    </row>
    <row r="27" spans="1:13" x14ac:dyDescent="0.2">
      <c r="A27" s="12">
        <v>5390</v>
      </c>
      <c r="B27" s="13" t="s">
        <v>1002</v>
      </c>
      <c r="C27" s="14">
        <v>126571.34</v>
      </c>
      <c r="D27" s="14">
        <v>194414.73</v>
      </c>
      <c r="E27" s="14">
        <v>187781.86</v>
      </c>
      <c r="F27" s="14">
        <v>161595.32999999999</v>
      </c>
      <c r="G27" s="14">
        <v>145944.88</v>
      </c>
      <c r="H27" s="14">
        <v>83636.39</v>
      </c>
      <c r="I27" s="14">
        <v>108153.09</v>
      </c>
      <c r="J27" s="15">
        <v>100000</v>
      </c>
      <c r="K27" s="14">
        <v>81627.11</v>
      </c>
      <c r="L27" s="15">
        <v>120000</v>
      </c>
      <c r="M27" s="15"/>
    </row>
    <row r="28" spans="1:13" x14ac:dyDescent="0.2">
      <c r="A28" s="12">
        <v>5410</v>
      </c>
      <c r="B28" s="13" t="s">
        <v>1003</v>
      </c>
      <c r="C28" s="14">
        <v>21656.47</v>
      </c>
      <c r="D28" s="14">
        <v>25981.439999999999</v>
      </c>
      <c r="E28" s="14">
        <v>46877.97</v>
      </c>
      <c r="F28" s="14">
        <v>12200.02</v>
      </c>
      <c r="G28" s="14">
        <v>8605.7999999999993</v>
      </c>
      <c r="H28" s="14">
        <v>19472.38</v>
      </c>
      <c r="I28" s="14">
        <v>31174.57</v>
      </c>
      <c r="J28" s="15">
        <v>15000</v>
      </c>
      <c r="K28" s="14">
        <v>34174.620000000003</v>
      </c>
      <c r="L28" s="15">
        <v>30000</v>
      </c>
      <c r="M28" s="15"/>
    </row>
    <row r="29" spans="1:13" x14ac:dyDescent="0.2">
      <c r="A29" s="12">
        <v>5430</v>
      </c>
      <c r="B29" s="13" t="s">
        <v>1004</v>
      </c>
      <c r="C29" s="14">
        <v>16058.02</v>
      </c>
      <c r="D29" s="14">
        <v>23466.39</v>
      </c>
      <c r="E29" s="14">
        <v>24610.799999999999</v>
      </c>
      <c r="F29" s="14">
        <v>55782.86</v>
      </c>
      <c r="G29" s="14">
        <v>16029</v>
      </c>
      <c r="H29" s="14">
        <v>705</v>
      </c>
      <c r="I29" s="14">
        <v>2195.85</v>
      </c>
      <c r="J29" s="15">
        <v>20000</v>
      </c>
      <c r="K29" s="14">
        <v>6425</v>
      </c>
      <c r="L29" s="15">
        <v>20000</v>
      </c>
      <c r="M29" s="15"/>
    </row>
    <row r="30" spans="1:13" x14ac:dyDescent="0.2">
      <c r="A30" s="12">
        <v>5440</v>
      </c>
      <c r="B30" s="13" t="s">
        <v>989</v>
      </c>
      <c r="C30" s="14">
        <v>46269.23</v>
      </c>
      <c r="D30" s="14">
        <v>31458.29</v>
      </c>
      <c r="E30" s="14">
        <v>19023.48</v>
      </c>
      <c r="F30" s="14">
        <v>30718.17</v>
      </c>
      <c r="G30" s="14">
        <v>67408.289999999994</v>
      </c>
      <c r="H30" s="14">
        <v>26522.48</v>
      </c>
      <c r="I30" s="14">
        <f>140+218+130.08+47257.64</f>
        <v>47745.72</v>
      </c>
      <c r="J30" s="15">
        <v>35000</v>
      </c>
      <c r="K30" s="14">
        <v>14787.71</v>
      </c>
      <c r="L30" s="15">
        <v>35000</v>
      </c>
      <c r="M30" s="15"/>
    </row>
    <row r="31" spans="1:13" x14ac:dyDescent="0.2">
      <c r="A31" s="12">
        <v>5450</v>
      </c>
      <c r="B31" s="13" t="s">
        <v>997</v>
      </c>
      <c r="C31" s="14">
        <v>32931.160000000003</v>
      </c>
      <c r="D31" s="14">
        <v>34304.69</v>
      </c>
      <c r="E31" s="14">
        <v>88858.54</v>
      </c>
      <c r="F31" s="14">
        <v>47817.16</v>
      </c>
      <c r="G31" s="14">
        <v>23258.93</v>
      </c>
      <c r="H31" s="14">
        <v>10008.66</v>
      </c>
      <c r="I31" s="14">
        <v>2276.17</v>
      </c>
      <c r="J31" s="15">
        <v>20000</v>
      </c>
      <c r="K31" s="14">
        <v>14039.39</v>
      </c>
      <c r="L31" s="15">
        <v>20000</v>
      </c>
      <c r="M31" s="15"/>
    </row>
    <row r="32" spans="1:13" hidden="1" x14ac:dyDescent="0.2">
      <c r="A32" s="12">
        <v>5460</v>
      </c>
      <c r="B32" s="13" t="s">
        <v>1304</v>
      </c>
      <c r="C32" s="14"/>
      <c r="D32" s="14"/>
      <c r="E32" s="14"/>
      <c r="F32" s="14"/>
      <c r="G32" s="14"/>
      <c r="H32" s="14"/>
      <c r="I32" s="14"/>
      <c r="J32" s="15"/>
      <c r="K32" s="14"/>
      <c r="L32" s="15"/>
      <c r="M32" s="15"/>
    </row>
    <row r="33" spans="1:13" x14ac:dyDescent="0.2">
      <c r="A33" s="12">
        <v>5470</v>
      </c>
      <c r="B33" s="13" t="s">
        <v>1303</v>
      </c>
      <c r="C33" s="14"/>
      <c r="D33" s="14"/>
      <c r="E33" s="14"/>
      <c r="F33" s="14"/>
      <c r="G33" s="14"/>
      <c r="H33" s="14"/>
      <c r="I33" s="14">
        <v>29042</v>
      </c>
      <c r="J33" s="15">
        <v>60000</v>
      </c>
      <c r="K33" s="14">
        <v>22900.94</v>
      </c>
      <c r="L33" s="15">
        <v>60000</v>
      </c>
      <c r="M33" s="15"/>
    </row>
    <row r="34" spans="1:13" x14ac:dyDescent="0.2">
      <c r="A34" s="12">
        <v>5582</v>
      </c>
      <c r="B34" s="13" t="s">
        <v>168</v>
      </c>
      <c r="C34" s="14"/>
      <c r="D34" s="14"/>
      <c r="E34" s="155">
        <v>2212.6999999999998</v>
      </c>
      <c r="F34" s="14">
        <v>1514.61</v>
      </c>
      <c r="G34" s="14">
        <v>379.24</v>
      </c>
      <c r="H34" s="14">
        <v>1023.51</v>
      </c>
      <c r="I34" s="14">
        <v>220.23</v>
      </c>
      <c r="J34" s="15">
        <f>1750+1000</f>
        <v>2750</v>
      </c>
      <c r="K34" s="14">
        <v>514.67999999999995</v>
      </c>
      <c r="L34" s="15">
        <v>4000</v>
      </c>
      <c r="M34" s="15"/>
    </row>
    <row r="35" spans="1:13" x14ac:dyDescent="0.2">
      <c r="A35" s="12">
        <v>5740</v>
      </c>
      <c r="B35" s="13" t="s">
        <v>986</v>
      </c>
      <c r="C35" s="14">
        <v>6951.15</v>
      </c>
      <c r="D35" s="14">
        <v>6305.91</v>
      </c>
      <c r="E35" s="14">
        <v>7591.82</v>
      </c>
      <c r="F35" s="14">
        <v>7971.28</v>
      </c>
      <c r="G35" s="14">
        <v>10517.6</v>
      </c>
      <c r="H35" s="14">
        <v>10436</v>
      </c>
      <c r="I35" s="14">
        <v>17776</v>
      </c>
      <c r="J35" s="15">
        <v>11000</v>
      </c>
      <c r="K35" s="14">
        <v>18246.73</v>
      </c>
      <c r="L35" s="15">
        <v>20000</v>
      </c>
      <c r="M35" s="15"/>
    </row>
    <row r="36" spans="1:13" x14ac:dyDescent="0.2">
      <c r="A36" s="12">
        <v>5790</v>
      </c>
      <c r="B36" s="13" t="s">
        <v>987</v>
      </c>
      <c r="C36" s="14">
        <v>38596</v>
      </c>
      <c r="D36" s="14">
        <v>39392</v>
      </c>
      <c r="E36" s="14">
        <v>41414</v>
      </c>
      <c r="F36" s="14">
        <v>42591</v>
      </c>
      <c r="G36" s="14">
        <v>43023</v>
      </c>
      <c r="H36" s="14">
        <v>46615</v>
      </c>
      <c r="I36" s="156">
        <v>48296</v>
      </c>
      <c r="J36" s="132">
        <v>48712</v>
      </c>
      <c r="K36" s="14"/>
      <c r="L36" s="132">
        <v>51506</v>
      </c>
      <c r="M36" s="15"/>
    </row>
    <row r="37" spans="1:13" x14ac:dyDescent="0.2">
      <c r="A37" s="12">
        <v>5791</v>
      </c>
      <c r="B37" s="13" t="s">
        <v>988</v>
      </c>
      <c r="C37" s="14">
        <v>3000</v>
      </c>
      <c r="D37" s="14">
        <v>4000</v>
      </c>
      <c r="E37" s="14">
        <v>5000</v>
      </c>
      <c r="F37" s="14">
        <v>5500</v>
      </c>
      <c r="G37" s="14">
        <v>5500</v>
      </c>
      <c r="H37" s="14">
        <v>5500</v>
      </c>
      <c r="I37" s="14">
        <v>5500</v>
      </c>
      <c r="J37" s="15">
        <v>7000</v>
      </c>
      <c r="K37" s="14">
        <v>5500</v>
      </c>
      <c r="L37" s="132">
        <v>5500</v>
      </c>
      <c r="M37" s="15"/>
    </row>
    <row r="38" spans="1:13" x14ac:dyDescent="0.2">
      <c r="A38" s="12">
        <v>5795</v>
      </c>
      <c r="B38" s="13" t="s">
        <v>540</v>
      </c>
      <c r="C38" s="14">
        <v>179806</v>
      </c>
      <c r="D38" s="14">
        <v>184545</v>
      </c>
      <c r="E38" s="14">
        <v>189158.6</v>
      </c>
      <c r="F38" s="14">
        <v>193887.56</v>
      </c>
      <c r="G38" s="14">
        <v>198743.77</v>
      </c>
      <c r="H38" s="14">
        <v>203703.14</v>
      </c>
      <c r="I38" s="14">
        <f>52198.93+52198.93+52198.93+104069.34-I39</f>
        <v>208795.72</v>
      </c>
      <c r="J38" s="15">
        <v>205000</v>
      </c>
      <c r="K38" s="14">
        <v>160511.25</v>
      </c>
      <c r="L38" s="132">
        <v>220000</v>
      </c>
      <c r="M38" s="15"/>
    </row>
    <row r="39" spans="1:13" x14ac:dyDescent="0.2">
      <c r="A39" s="12">
        <v>5796</v>
      </c>
      <c r="B39" s="13" t="s">
        <v>1575</v>
      </c>
      <c r="C39" s="39"/>
      <c r="D39" s="39"/>
      <c r="E39" s="39"/>
      <c r="F39" s="39"/>
      <c r="G39" s="39"/>
      <c r="H39" s="39"/>
      <c r="I39" s="39">
        <v>51870.41</v>
      </c>
      <c r="J39" s="40"/>
      <c r="K39" s="39"/>
      <c r="L39" s="135">
        <f>4245+55000</f>
        <v>59245</v>
      </c>
      <c r="M39" s="40"/>
    </row>
    <row r="40" spans="1:13" ht="13.5" thickBot="1" x14ac:dyDescent="0.25">
      <c r="A40" s="12"/>
      <c r="B40" s="13" t="s">
        <v>996</v>
      </c>
      <c r="C40" s="16"/>
      <c r="D40" s="16">
        <v>57682.44</v>
      </c>
      <c r="E40" s="16"/>
      <c r="F40" s="16"/>
      <c r="G40" s="16"/>
      <c r="H40" s="16"/>
      <c r="I40" s="16"/>
      <c r="J40" s="17"/>
      <c r="K40" s="16"/>
      <c r="L40" s="17"/>
      <c r="M40" s="17"/>
    </row>
    <row r="41" spans="1:13" x14ac:dyDescent="0.2">
      <c r="A41" s="12"/>
      <c r="B41" s="18" t="s">
        <v>442</v>
      </c>
      <c r="C41" s="32">
        <f t="shared" ref="C41:L41" si="2">SUM(C16:C40)</f>
        <v>886974.85000000009</v>
      </c>
      <c r="D41" s="32">
        <f t="shared" si="2"/>
        <v>958923.79</v>
      </c>
      <c r="E41" s="32">
        <f t="shared" si="2"/>
        <v>957063.42999999993</v>
      </c>
      <c r="F41" s="32">
        <f t="shared" si="2"/>
        <v>957874.57000000007</v>
      </c>
      <c r="G41" s="32">
        <f>SUM(G16:G40)</f>
        <v>1006447.3</v>
      </c>
      <c r="H41" s="32">
        <f>SUM(H16:H40)</f>
        <v>1042208.1100000001</v>
      </c>
      <c r="I41" s="32">
        <f t="shared" si="2"/>
        <v>1112125.8699999999</v>
      </c>
      <c r="J41" s="33">
        <f t="shared" ref="J41" si="3">SUM(J16:J40)</f>
        <v>1003962</v>
      </c>
      <c r="K41" s="32">
        <f t="shared" si="2"/>
        <v>622492.46</v>
      </c>
      <c r="L41" s="33">
        <f t="shared" si="2"/>
        <v>1128751</v>
      </c>
      <c r="M41" s="33">
        <f>+L41</f>
        <v>1128751</v>
      </c>
    </row>
    <row r="42" spans="1:13" x14ac:dyDescent="0.2">
      <c r="A42" s="12"/>
      <c r="B42" s="13"/>
      <c r="C42" s="39"/>
      <c r="D42" s="39"/>
      <c r="E42" s="39"/>
      <c r="F42" s="39"/>
      <c r="G42" s="39"/>
      <c r="H42" s="39"/>
      <c r="I42" s="39"/>
      <c r="J42" s="40"/>
      <c r="K42" s="39"/>
      <c r="L42" s="40"/>
      <c r="M42" s="40"/>
    </row>
    <row r="43" spans="1:13" ht="13.5" thickBot="1" x14ac:dyDescent="0.25">
      <c r="A43" s="21"/>
      <c r="B43" s="22" t="s">
        <v>327</v>
      </c>
      <c r="C43" s="23">
        <f>+C41+C14</f>
        <v>1232852.1600000001</v>
      </c>
      <c r="D43" s="23">
        <f>+D41+D14</f>
        <v>1332110.6000000001</v>
      </c>
      <c r="E43" s="23">
        <f t="shared" ref="E43:M43" si="4">+E41+E14</f>
        <v>1415714.64</v>
      </c>
      <c r="F43" s="23">
        <f t="shared" si="4"/>
        <v>1411128.35</v>
      </c>
      <c r="G43" s="23">
        <f t="shared" si="4"/>
        <v>1411401.52</v>
      </c>
      <c r="H43" s="23">
        <f>+H41+H14</f>
        <v>1459773.7000000002</v>
      </c>
      <c r="I43" s="23">
        <f t="shared" si="4"/>
        <v>1523345.5699999998</v>
      </c>
      <c r="J43" s="24">
        <f t="shared" ref="J43" si="5">+J41+J14</f>
        <v>1441754</v>
      </c>
      <c r="K43" s="23">
        <f t="shared" si="4"/>
        <v>834958.58</v>
      </c>
      <c r="L43" s="24">
        <f t="shared" si="4"/>
        <v>1585763</v>
      </c>
      <c r="M43" s="24">
        <f t="shared" si="4"/>
        <v>1585763</v>
      </c>
    </row>
    <row r="44" spans="1:13" ht="13.5" thickTop="1" x14ac:dyDescent="0.2">
      <c r="A44" s="197"/>
      <c r="B44" s="102"/>
      <c r="C44" s="25"/>
      <c r="D44" s="25"/>
      <c r="E44" s="25"/>
      <c r="F44" s="25"/>
      <c r="G44" s="25"/>
      <c r="H44" s="25"/>
      <c r="I44" s="25"/>
      <c r="J44" s="25"/>
      <c r="K44" s="4"/>
      <c r="L44" s="25"/>
      <c r="M44" s="84"/>
    </row>
    <row r="45" spans="1:13" x14ac:dyDescent="0.2">
      <c r="A45" s="72"/>
      <c r="B45" s="4"/>
      <c r="C45" s="25"/>
      <c r="D45" s="25"/>
      <c r="E45" s="25"/>
      <c r="F45" s="25"/>
      <c r="G45" s="25"/>
      <c r="H45" s="25"/>
      <c r="I45" s="25"/>
      <c r="J45" s="25"/>
      <c r="K45" s="29"/>
      <c r="L45" s="84"/>
      <c r="M45" s="25"/>
    </row>
    <row r="46" spans="1:13" x14ac:dyDescent="0.2">
      <c r="A46" s="4" t="s">
        <v>521</v>
      </c>
      <c r="B46" s="4"/>
      <c r="L46" s="75"/>
    </row>
    <row r="47" spans="1:13" x14ac:dyDescent="0.2">
      <c r="A47" s="4"/>
      <c r="B47" s="4"/>
    </row>
    <row r="48" spans="1:13" ht="12" customHeight="1" x14ac:dyDescent="0.2">
      <c r="A48" s="197"/>
      <c r="B48" s="161"/>
      <c r="D48" s="235"/>
      <c r="E48" s="235"/>
      <c r="F48" s="235"/>
      <c r="G48" s="235"/>
      <c r="H48" s="235"/>
      <c r="I48" s="235"/>
      <c r="J48" s="235"/>
      <c r="K48" s="4"/>
      <c r="L48" s="25"/>
      <c r="M48" s="187"/>
    </row>
    <row r="49" spans="1:13" ht="13.5" thickBot="1" x14ac:dyDescent="0.25">
      <c r="A49" s="160"/>
      <c r="B49" s="254" t="s">
        <v>1020</v>
      </c>
      <c r="D49" s="1"/>
      <c r="E49" s="1"/>
      <c r="F49" s="1"/>
      <c r="G49" s="1"/>
      <c r="H49" s="1"/>
      <c r="I49"/>
      <c r="J49"/>
      <c r="L49"/>
      <c r="M49"/>
    </row>
    <row r="50" spans="1:13" ht="13.5" thickTop="1" x14ac:dyDescent="0.2">
      <c r="A50" s="162" t="s">
        <v>883</v>
      </c>
      <c r="B50" s="113"/>
      <c r="H50" s="346" t="s">
        <v>84</v>
      </c>
      <c r="I50" s="169" t="s">
        <v>946</v>
      </c>
      <c r="J50" s="182" t="s">
        <v>576</v>
      </c>
      <c r="K50" s="182" t="s">
        <v>578</v>
      </c>
      <c r="L50" t="s">
        <v>1358</v>
      </c>
      <c r="M50" t="s">
        <v>152</v>
      </c>
    </row>
    <row r="51" spans="1:13" ht="13.5" thickBot="1" x14ac:dyDescent="0.25">
      <c r="A51" s="392" t="s">
        <v>884</v>
      </c>
      <c r="B51" s="115" t="s">
        <v>522</v>
      </c>
      <c r="H51" s="510"/>
      <c r="I51" s="511" t="s">
        <v>575</v>
      </c>
      <c r="J51" s="512" t="s">
        <v>971</v>
      </c>
      <c r="K51" s="513" t="s">
        <v>101</v>
      </c>
      <c r="L51"/>
      <c r="M51"/>
    </row>
    <row r="52" spans="1:13" ht="13.5" thickTop="1" x14ac:dyDescent="0.2">
      <c r="A52" s="185">
        <v>43920</v>
      </c>
      <c r="B52" s="69" t="s">
        <v>1661</v>
      </c>
      <c r="H52" s="509" t="s">
        <v>1660</v>
      </c>
      <c r="I52" s="156">
        <f>+'NAGE &amp; Non-Union Wages'!F12</f>
        <v>83841</v>
      </c>
      <c r="J52" s="132"/>
      <c r="K52" s="359">
        <f>+I52</f>
        <v>83841</v>
      </c>
      <c r="L52"/>
      <c r="M52"/>
    </row>
    <row r="53" spans="1:13" x14ac:dyDescent="0.2">
      <c r="A53" s="185">
        <v>44013</v>
      </c>
      <c r="B53" s="69" t="s">
        <v>1547</v>
      </c>
      <c r="H53" s="757" t="s">
        <v>762</v>
      </c>
      <c r="I53" s="496">
        <f>+'NAGE &amp; Non-Union Wages'!C5</f>
        <v>17.989999999999998</v>
      </c>
      <c r="J53" s="261">
        <v>1044</v>
      </c>
      <c r="K53" s="359">
        <f t="shared" ref="K53:K59" si="6">ROUND((+J53*I53),2)</f>
        <v>18781.560000000001</v>
      </c>
      <c r="L53"/>
      <c r="M53"/>
    </row>
    <row r="54" spans="1:13" x14ac:dyDescent="0.2">
      <c r="A54" s="185">
        <v>43290</v>
      </c>
      <c r="B54" s="69" t="s">
        <v>1232</v>
      </c>
      <c r="H54" s="514" t="s">
        <v>1238</v>
      </c>
      <c r="I54" s="496">
        <f>+'NAGE &amp; Non-Union Wages'!D20</f>
        <v>28.3</v>
      </c>
      <c r="J54" s="261">
        <v>2088</v>
      </c>
      <c r="K54" s="359">
        <f t="shared" si="6"/>
        <v>59090.400000000001</v>
      </c>
      <c r="L54">
        <v>2</v>
      </c>
      <c r="M54"/>
    </row>
    <row r="55" spans="1:13" x14ac:dyDescent="0.2">
      <c r="A55" s="185">
        <v>42278</v>
      </c>
      <c r="B55" s="69" t="s">
        <v>1233</v>
      </c>
      <c r="H55" s="514" t="s">
        <v>1229</v>
      </c>
      <c r="I55" s="496">
        <f>+'UE Wages'!F9</f>
        <v>24.64</v>
      </c>
      <c r="J55" s="261">
        <v>2088</v>
      </c>
      <c r="K55" s="359">
        <f t="shared" si="6"/>
        <v>51448.32</v>
      </c>
      <c r="L55">
        <v>5</v>
      </c>
      <c r="M55">
        <v>100</v>
      </c>
    </row>
    <row r="56" spans="1:13" x14ac:dyDescent="0.2">
      <c r="A56" s="185">
        <v>41010</v>
      </c>
      <c r="B56" s="250" t="s">
        <v>1234</v>
      </c>
      <c r="H56" s="514" t="s">
        <v>1336</v>
      </c>
      <c r="I56" s="496">
        <f>+'UE Wages'!J9</f>
        <v>26.94</v>
      </c>
      <c r="J56" s="261">
        <v>2088</v>
      </c>
      <c r="K56" s="359">
        <f t="shared" si="6"/>
        <v>56250.720000000001</v>
      </c>
      <c r="L56">
        <v>9</v>
      </c>
      <c r="M56">
        <v>100</v>
      </c>
    </row>
    <row r="57" spans="1:13" x14ac:dyDescent="0.2">
      <c r="A57" s="487">
        <v>43360</v>
      </c>
      <c r="B57" s="833" t="s">
        <v>1264</v>
      </c>
      <c r="C57" s="368"/>
      <c r="D57" s="413"/>
      <c r="H57" s="834" t="s">
        <v>1009</v>
      </c>
      <c r="I57" s="496">
        <f>+'UE Wages'!K8</f>
        <v>25.45</v>
      </c>
      <c r="J57" s="261">
        <v>2088</v>
      </c>
      <c r="K57" s="359">
        <f t="shared" si="6"/>
        <v>53139.6</v>
      </c>
      <c r="L57">
        <v>2</v>
      </c>
      <c r="M57"/>
    </row>
    <row r="58" spans="1:13" x14ac:dyDescent="0.2">
      <c r="A58" s="357">
        <v>43605</v>
      </c>
      <c r="B58" s="250" t="s">
        <v>1350</v>
      </c>
      <c r="C58" s="307"/>
      <c r="D58" s="496"/>
      <c r="E58" s="753"/>
      <c r="F58" s="753"/>
      <c r="G58" s="753"/>
      <c r="H58" s="509" t="s">
        <v>762</v>
      </c>
      <c r="I58" s="496">
        <f>+'UE Wages'!C6</f>
        <v>18.07</v>
      </c>
      <c r="J58" s="261">
        <v>2088</v>
      </c>
      <c r="K58" s="359">
        <f t="shared" si="6"/>
        <v>37730.160000000003</v>
      </c>
      <c r="L58">
        <v>1</v>
      </c>
      <c r="M58"/>
    </row>
    <row r="59" spans="1:13" x14ac:dyDescent="0.2">
      <c r="A59" s="357"/>
      <c r="B59" s="250" t="s">
        <v>1546</v>
      </c>
      <c r="C59" s="307"/>
      <c r="D59" s="496"/>
      <c r="E59" s="753"/>
      <c r="F59" s="753"/>
      <c r="G59" s="753"/>
      <c r="H59" s="509" t="s">
        <v>762</v>
      </c>
      <c r="I59" s="496">
        <f>+'UE Wages'!C6</f>
        <v>18.07</v>
      </c>
      <c r="J59" s="261">
        <v>2088</v>
      </c>
      <c r="K59" s="359">
        <f t="shared" si="6"/>
        <v>37730.160000000003</v>
      </c>
      <c r="L59"/>
      <c r="M59"/>
    </row>
    <row r="60" spans="1:13" x14ac:dyDescent="0.2">
      <c r="A60" s="102"/>
      <c r="B60" s="161" t="s">
        <v>735</v>
      </c>
      <c r="D60" s="1"/>
      <c r="E60" s="1"/>
      <c r="H60" s="368"/>
      <c r="I60" s="368"/>
      <c r="J60" s="130"/>
      <c r="K60" s="130"/>
      <c r="L60"/>
      <c r="M60"/>
    </row>
    <row r="61" spans="1:13" x14ac:dyDescent="0.2">
      <c r="A61" s="197"/>
      <c r="B61" s="161"/>
      <c r="C61" s="121"/>
      <c r="K61" s="74">
        <f>SUM(K52:K60)</f>
        <v>398011.92000000004</v>
      </c>
    </row>
    <row r="62" spans="1:13" x14ac:dyDescent="0.2">
      <c r="A62" s="197"/>
      <c r="B62" s="161"/>
      <c r="C62" s="121"/>
    </row>
    <row r="63" spans="1:13" x14ac:dyDescent="0.2">
      <c r="A63" s="4" t="s">
        <v>1140</v>
      </c>
      <c r="B63" s="161"/>
      <c r="C63" s="121"/>
    </row>
    <row r="64" spans="1:13" x14ac:dyDescent="0.2">
      <c r="A64" s="185"/>
      <c r="B64" s="161"/>
      <c r="C64" s="121"/>
    </row>
    <row r="65" spans="1:13" x14ac:dyDescent="0.2">
      <c r="A65" s="185"/>
      <c r="B65" s="161"/>
      <c r="C65" s="121"/>
    </row>
    <row r="66" spans="1:13" ht="13.5" thickBot="1" x14ac:dyDescent="0.25">
      <c r="C66" s="121"/>
    </row>
    <row r="67" spans="1:13" ht="13.5" thickTop="1" x14ac:dyDescent="0.2">
      <c r="A67" s="517"/>
      <c r="B67" s="518"/>
      <c r="C67" s="519" t="s">
        <v>122</v>
      </c>
      <c r="D67" s="520" t="s">
        <v>122</v>
      </c>
      <c r="E67" s="520" t="s">
        <v>122</v>
      </c>
      <c r="H67" s="521" t="s">
        <v>542</v>
      </c>
      <c r="I67" s="522" t="s">
        <v>9</v>
      </c>
      <c r="J67" s="523" t="s">
        <v>1073</v>
      </c>
      <c r="K67" s="522" t="s">
        <v>682</v>
      </c>
      <c r="L67" s="524"/>
      <c r="M67" s="523"/>
    </row>
    <row r="68" spans="1:13" ht="13.5" thickBot="1" x14ac:dyDescent="0.25">
      <c r="A68" s="525" t="s">
        <v>123</v>
      </c>
      <c r="B68" s="526"/>
      <c r="C68" s="580" t="s">
        <v>334</v>
      </c>
      <c r="D68" s="580" t="s">
        <v>718</v>
      </c>
      <c r="E68" s="529" t="s">
        <v>734</v>
      </c>
      <c r="H68" s="529" t="s">
        <v>899</v>
      </c>
      <c r="I68" s="529" t="s">
        <v>900</v>
      </c>
      <c r="J68" s="594" t="s">
        <v>1075</v>
      </c>
      <c r="K68" s="595" t="s">
        <v>1075</v>
      </c>
      <c r="L68" s="596" t="s">
        <v>1074</v>
      </c>
      <c r="M68" s="593"/>
    </row>
    <row r="69" spans="1:13" ht="13.5" thickTop="1" x14ac:dyDescent="0.2">
      <c r="A69" s="557"/>
      <c r="B69" s="558"/>
      <c r="C69" s="559"/>
      <c r="D69" s="560"/>
      <c r="E69" s="560"/>
      <c r="H69" s="597"/>
      <c r="I69" s="598"/>
      <c r="J69" s="597"/>
      <c r="K69" s="599"/>
      <c r="L69" s="600"/>
      <c r="M69" s="601"/>
    </row>
    <row r="70" spans="1:13" x14ac:dyDescent="0.2">
      <c r="A70" s="551">
        <v>5110</v>
      </c>
      <c r="B70" s="577" t="s">
        <v>982</v>
      </c>
      <c r="C70" s="544">
        <v>296676.09999999998</v>
      </c>
      <c r="D70" s="544">
        <v>317703.17</v>
      </c>
      <c r="E70" s="544">
        <f>9155+388922.89</f>
        <v>398077.89</v>
      </c>
      <c r="H70" s="543">
        <f>+J9</f>
        <v>386022</v>
      </c>
      <c r="I70" s="569">
        <f>+L9</f>
        <v>398012</v>
      </c>
      <c r="J70" s="543">
        <f t="shared" ref="J70" si="7">+I70-H70</f>
        <v>11990</v>
      </c>
      <c r="K70" s="545">
        <f t="shared" ref="K70" si="8">IF(H70+I70&lt;&gt;0,IF(H70&lt;&gt;0,IF(J70&lt;&gt;0,ROUND((+J70/H70),4),""),1),"")</f>
        <v>3.1099999999999999E-2</v>
      </c>
      <c r="L70" s="662" t="s">
        <v>1613</v>
      </c>
      <c r="M70" s="539"/>
    </row>
    <row r="71" spans="1:13" x14ac:dyDescent="0.2">
      <c r="A71" s="551">
        <v>5132</v>
      </c>
      <c r="B71" s="540" t="s">
        <v>968</v>
      </c>
      <c r="C71" s="544">
        <v>40622.949999999997</v>
      </c>
      <c r="D71" s="544">
        <v>47734.400000000001</v>
      </c>
      <c r="E71" s="544">
        <v>53816.19</v>
      </c>
      <c r="H71" s="543">
        <f>+J10</f>
        <v>40000</v>
      </c>
      <c r="I71" s="569">
        <f>+L10</f>
        <v>45000</v>
      </c>
      <c r="J71" s="543">
        <f t="shared" ref="J71:J96" si="9">+I71-H71</f>
        <v>5000</v>
      </c>
      <c r="K71" s="545">
        <f t="shared" ref="K71:K96" si="10">IF(H71+I71&lt;&gt;0,IF(H71&lt;&gt;0,IF(J71&lt;&gt;0,ROUND((+J71/H71),4),""),1),"")</f>
        <v>0.125</v>
      </c>
      <c r="L71" s="662" t="s">
        <v>1614</v>
      </c>
      <c r="M71" s="539"/>
    </row>
    <row r="72" spans="1:13" x14ac:dyDescent="0.2">
      <c r="A72" s="551">
        <v>5140</v>
      </c>
      <c r="B72" s="540" t="s">
        <v>983</v>
      </c>
      <c r="C72" s="602">
        <v>8578.26</v>
      </c>
      <c r="D72" s="602">
        <v>7749.24</v>
      </c>
      <c r="E72" s="603">
        <f>-2212.7+8969.83</f>
        <v>6757.13</v>
      </c>
      <c r="H72" s="543">
        <f>+J11</f>
        <v>11770</v>
      </c>
      <c r="I72" s="569">
        <f>+L11</f>
        <v>14000</v>
      </c>
      <c r="J72" s="543">
        <f t="shared" si="9"/>
        <v>2230</v>
      </c>
      <c r="K72" s="545">
        <f t="shared" si="10"/>
        <v>0.1895</v>
      </c>
      <c r="L72" s="659" t="s">
        <v>1614</v>
      </c>
      <c r="M72" s="604"/>
    </row>
    <row r="73" spans="1:13" x14ac:dyDescent="0.2">
      <c r="A73" s="551">
        <v>5193</v>
      </c>
      <c r="B73" s="540" t="s">
        <v>695</v>
      </c>
      <c r="C73" s="602"/>
      <c r="D73" s="602"/>
      <c r="E73" s="602"/>
      <c r="H73" s="543">
        <f>+J12</f>
        <v>0</v>
      </c>
      <c r="I73" s="569">
        <f>+L12</f>
        <v>0</v>
      </c>
      <c r="J73" s="543">
        <f t="shared" si="9"/>
        <v>0</v>
      </c>
      <c r="K73" s="545" t="str">
        <f t="shared" si="10"/>
        <v/>
      </c>
      <c r="L73" s="659"/>
      <c r="M73" s="604"/>
    </row>
    <row r="74" spans="1:13" ht="13.5" thickBot="1" x14ac:dyDescent="0.25">
      <c r="A74" s="551">
        <v>5194</v>
      </c>
      <c r="B74" s="540" t="s">
        <v>221</v>
      </c>
      <c r="C74" s="605"/>
      <c r="D74" s="605"/>
      <c r="E74" s="605"/>
      <c r="H74" s="543">
        <f>+J13</f>
        <v>0</v>
      </c>
      <c r="I74" s="569">
        <f>+L13</f>
        <v>0</v>
      </c>
      <c r="J74" s="543">
        <f t="shared" si="9"/>
        <v>0</v>
      </c>
      <c r="K74" s="545" t="str">
        <f t="shared" si="10"/>
        <v/>
      </c>
      <c r="L74" s="659"/>
      <c r="M74" s="604"/>
    </row>
    <row r="75" spans="1:13" x14ac:dyDescent="0.2">
      <c r="A75" s="551">
        <v>5211</v>
      </c>
      <c r="B75" s="540" t="s">
        <v>244</v>
      </c>
      <c r="C75" s="544">
        <v>137014.16</v>
      </c>
      <c r="D75" s="544">
        <v>153979.65</v>
      </c>
      <c r="E75" s="544">
        <v>158236.51</v>
      </c>
      <c r="H75" s="543">
        <f>+J16</f>
        <v>160000</v>
      </c>
      <c r="I75" s="569">
        <f t="shared" ref="I75:I90" si="11">+L16</f>
        <v>140000</v>
      </c>
      <c r="J75" s="543">
        <f t="shared" si="9"/>
        <v>-20000</v>
      </c>
      <c r="K75" s="545">
        <f t="shared" si="10"/>
        <v>-0.125</v>
      </c>
      <c r="L75" s="659" t="s">
        <v>1614</v>
      </c>
      <c r="M75" s="539"/>
    </row>
    <row r="76" spans="1:13" x14ac:dyDescent="0.2">
      <c r="A76" s="551">
        <v>5211.1000000000004</v>
      </c>
      <c r="B76" s="540" t="s">
        <v>245</v>
      </c>
      <c r="C76" s="544">
        <v>18658.89</v>
      </c>
      <c r="D76" s="544">
        <v>22524.48</v>
      </c>
      <c r="E76" s="544">
        <v>20914.47</v>
      </c>
      <c r="H76" s="543">
        <f t="shared" ref="H76:H90" si="12">+J17</f>
        <v>20000</v>
      </c>
      <c r="I76" s="569">
        <f t="shared" si="11"/>
        <v>23000</v>
      </c>
      <c r="J76" s="543">
        <f t="shared" si="9"/>
        <v>3000</v>
      </c>
      <c r="K76" s="545">
        <f t="shared" si="10"/>
        <v>0.15</v>
      </c>
      <c r="L76" s="659" t="s">
        <v>1614</v>
      </c>
      <c r="M76" s="539"/>
    </row>
    <row r="77" spans="1:13" x14ac:dyDescent="0.2">
      <c r="A77" s="551">
        <v>5213</v>
      </c>
      <c r="B77" s="540" t="s">
        <v>994</v>
      </c>
      <c r="C77" s="544">
        <v>6649.98</v>
      </c>
      <c r="D77" s="544">
        <v>21358.57</v>
      </c>
      <c r="E77" s="544">
        <v>11430.85</v>
      </c>
      <c r="H77" s="543">
        <f t="shared" si="12"/>
        <v>15000</v>
      </c>
      <c r="I77" s="569">
        <f t="shared" si="11"/>
        <v>16000</v>
      </c>
      <c r="J77" s="543">
        <f t="shared" si="9"/>
        <v>1000</v>
      </c>
      <c r="K77" s="545">
        <f t="shared" si="10"/>
        <v>6.6699999999999995E-2</v>
      </c>
      <c r="L77" s="660" t="s">
        <v>1615</v>
      </c>
      <c r="M77" s="539"/>
    </row>
    <row r="78" spans="1:13" x14ac:dyDescent="0.2">
      <c r="A78" s="551">
        <v>5280</v>
      </c>
      <c r="B78" s="540" t="s">
        <v>246</v>
      </c>
      <c r="C78" s="544">
        <v>134216.60999999999</v>
      </c>
      <c r="D78" s="544">
        <v>17243.32</v>
      </c>
      <c r="E78" s="544">
        <v>23212.07</v>
      </c>
      <c r="H78" s="543">
        <f t="shared" si="12"/>
        <v>155000</v>
      </c>
      <c r="I78" s="569">
        <f t="shared" si="11"/>
        <v>170000</v>
      </c>
      <c r="J78" s="543">
        <f t="shared" si="9"/>
        <v>15000</v>
      </c>
      <c r="K78" s="545">
        <f t="shared" si="10"/>
        <v>9.6799999999999997E-2</v>
      </c>
      <c r="L78" s="662" t="s">
        <v>1616</v>
      </c>
      <c r="M78" s="539"/>
    </row>
    <row r="79" spans="1:13" x14ac:dyDescent="0.2">
      <c r="A79" s="551">
        <v>5300</v>
      </c>
      <c r="B79" s="540" t="s">
        <v>984</v>
      </c>
      <c r="C79" s="544">
        <v>35721.64</v>
      </c>
      <c r="D79" s="544">
        <v>47452.11</v>
      </c>
      <c r="E79" s="544">
        <v>53067.38</v>
      </c>
      <c r="H79" s="543">
        <f t="shared" si="12"/>
        <v>90000</v>
      </c>
      <c r="I79" s="569">
        <f t="shared" si="11"/>
        <v>90000</v>
      </c>
      <c r="J79" s="543">
        <f t="shared" si="9"/>
        <v>0</v>
      </c>
      <c r="K79" s="545" t="str">
        <f t="shared" si="10"/>
        <v/>
      </c>
      <c r="L79" s="660"/>
      <c r="M79" s="539"/>
    </row>
    <row r="80" spans="1:13" x14ac:dyDescent="0.2">
      <c r="A80" s="551">
        <v>5310</v>
      </c>
      <c r="B80" s="540" t="s">
        <v>995</v>
      </c>
      <c r="C80" s="544">
        <v>12172.69</v>
      </c>
      <c r="D80" s="544">
        <v>14914.04</v>
      </c>
      <c r="E80" s="544">
        <v>14098.49</v>
      </c>
      <c r="H80" s="543">
        <f t="shared" si="12"/>
        <v>6000</v>
      </c>
      <c r="I80" s="569">
        <f t="shared" si="11"/>
        <v>6000</v>
      </c>
      <c r="J80" s="543">
        <f t="shared" si="9"/>
        <v>0</v>
      </c>
      <c r="K80" s="545" t="str">
        <f t="shared" si="10"/>
        <v/>
      </c>
      <c r="L80" s="660"/>
      <c r="M80" s="539"/>
    </row>
    <row r="81" spans="1:13" x14ac:dyDescent="0.2">
      <c r="A81" s="551">
        <v>5320</v>
      </c>
      <c r="B81" s="540" t="s">
        <v>985</v>
      </c>
      <c r="C81" s="544">
        <v>4819.55</v>
      </c>
      <c r="D81" s="544">
        <v>3932.01</v>
      </c>
      <c r="E81" s="544">
        <v>3421.26</v>
      </c>
      <c r="H81" s="543">
        <f t="shared" si="12"/>
        <v>5000</v>
      </c>
      <c r="I81" s="569">
        <f t="shared" si="11"/>
        <v>5000</v>
      </c>
      <c r="J81" s="543">
        <f t="shared" si="9"/>
        <v>0</v>
      </c>
      <c r="K81" s="545" t="str">
        <f t="shared" si="10"/>
        <v/>
      </c>
      <c r="L81" s="660"/>
      <c r="M81" s="539"/>
    </row>
    <row r="82" spans="1:13" x14ac:dyDescent="0.2">
      <c r="A82" s="551">
        <v>5340</v>
      </c>
      <c r="B82" s="540" t="s">
        <v>998</v>
      </c>
      <c r="C82" s="544">
        <v>4512.16</v>
      </c>
      <c r="D82" s="544">
        <v>5927.79</v>
      </c>
      <c r="E82" s="544">
        <v>4900.01</v>
      </c>
      <c r="H82" s="543">
        <f t="shared" si="12"/>
        <v>5500</v>
      </c>
      <c r="I82" s="569">
        <f t="shared" si="11"/>
        <v>5500</v>
      </c>
      <c r="J82" s="543">
        <f t="shared" si="9"/>
        <v>0</v>
      </c>
      <c r="K82" s="545" t="str">
        <f t="shared" si="10"/>
        <v/>
      </c>
      <c r="L82" s="660"/>
      <c r="M82" s="539"/>
    </row>
    <row r="83" spans="1:13" x14ac:dyDescent="0.2">
      <c r="A83" s="551">
        <v>5360</v>
      </c>
      <c r="B83" s="540" t="s">
        <v>999</v>
      </c>
      <c r="C83" s="544">
        <v>9859.64</v>
      </c>
      <c r="D83" s="544">
        <v>5291.42</v>
      </c>
      <c r="E83" s="544">
        <v>8758.2900000000009</v>
      </c>
      <c r="H83" s="543">
        <f t="shared" si="12"/>
        <v>3000</v>
      </c>
      <c r="I83" s="569">
        <f t="shared" si="11"/>
        <v>4000</v>
      </c>
      <c r="J83" s="543">
        <f t="shared" si="9"/>
        <v>1000</v>
      </c>
      <c r="K83" s="545">
        <f t="shared" si="10"/>
        <v>0.33329999999999999</v>
      </c>
      <c r="L83" s="660"/>
      <c r="M83" s="539"/>
    </row>
    <row r="84" spans="1:13" x14ac:dyDescent="0.2">
      <c r="A84" s="551">
        <v>5370</v>
      </c>
      <c r="B84" s="540" t="s">
        <v>1000</v>
      </c>
      <c r="C84" s="544">
        <v>39750.15</v>
      </c>
      <c r="D84" s="544">
        <v>52934.559999999998</v>
      </c>
      <c r="E84" s="544">
        <v>37319.800000000003</v>
      </c>
      <c r="H84" s="543">
        <f t="shared" si="12"/>
        <v>15000</v>
      </c>
      <c r="I84" s="569">
        <f t="shared" si="11"/>
        <v>18000</v>
      </c>
      <c r="J84" s="543">
        <f t="shared" si="9"/>
        <v>3000</v>
      </c>
      <c r="K84" s="545">
        <f t="shared" si="10"/>
        <v>0.2</v>
      </c>
      <c r="L84" s="660"/>
      <c r="M84" s="539"/>
    </row>
    <row r="85" spans="1:13" x14ac:dyDescent="0.2">
      <c r="A85" s="551">
        <v>5380</v>
      </c>
      <c r="B85" s="540" t="s">
        <v>1001</v>
      </c>
      <c r="C85" s="544">
        <v>11760.01</v>
      </c>
      <c r="D85" s="544">
        <v>11814.95</v>
      </c>
      <c r="E85" s="544">
        <v>9174.5300000000007</v>
      </c>
      <c r="H85" s="543">
        <f t="shared" si="12"/>
        <v>5000</v>
      </c>
      <c r="I85" s="569">
        <f t="shared" si="11"/>
        <v>6000</v>
      </c>
      <c r="J85" s="543">
        <f t="shared" si="9"/>
        <v>1000</v>
      </c>
      <c r="K85" s="545">
        <f t="shared" si="10"/>
        <v>0.2</v>
      </c>
      <c r="L85" s="662"/>
      <c r="M85" s="539"/>
    </row>
    <row r="86" spans="1:13" x14ac:dyDescent="0.2">
      <c r="A86" s="551">
        <v>5390</v>
      </c>
      <c r="B86" s="540" t="s">
        <v>1002</v>
      </c>
      <c r="C86" s="544">
        <v>126571.34</v>
      </c>
      <c r="D86" s="544">
        <v>194414.73</v>
      </c>
      <c r="E86" s="544">
        <v>187781.86</v>
      </c>
      <c r="H86" s="543">
        <f t="shared" si="12"/>
        <v>100000</v>
      </c>
      <c r="I86" s="569">
        <f t="shared" si="11"/>
        <v>120000</v>
      </c>
      <c r="J86" s="543">
        <f t="shared" si="9"/>
        <v>20000</v>
      </c>
      <c r="K86" s="545">
        <f t="shared" si="10"/>
        <v>0.2</v>
      </c>
      <c r="L86" s="662" t="s">
        <v>1617</v>
      </c>
      <c r="M86" s="539"/>
    </row>
    <row r="87" spans="1:13" x14ac:dyDescent="0.2">
      <c r="A87" s="551">
        <v>5410</v>
      </c>
      <c r="B87" s="540" t="s">
        <v>1003</v>
      </c>
      <c r="C87" s="544">
        <v>21656.47</v>
      </c>
      <c r="D87" s="544">
        <v>25981.439999999999</v>
      </c>
      <c r="E87" s="544">
        <v>46877.97</v>
      </c>
      <c r="H87" s="543">
        <f t="shared" si="12"/>
        <v>15000</v>
      </c>
      <c r="I87" s="569">
        <f t="shared" si="11"/>
        <v>30000</v>
      </c>
      <c r="J87" s="543">
        <f t="shared" si="9"/>
        <v>15000</v>
      </c>
      <c r="K87" s="545">
        <f t="shared" si="10"/>
        <v>1</v>
      </c>
      <c r="L87" s="660" t="s">
        <v>1615</v>
      </c>
      <c r="M87" s="539"/>
    </row>
    <row r="88" spans="1:13" x14ac:dyDescent="0.2">
      <c r="A88" s="551">
        <v>5430</v>
      </c>
      <c r="B88" s="540" t="s">
        <v>1004</v>
      </c>
      <c r="C88" s="544">
        <v>16058.02</v>
      </c>
      <c r="D88" s="544">
        <v>23466.39</v>
      </c>
      <c r="E88" s="544">
        <v>24610.799999999999</v>
      </c>
      <c r="H88" s="543">
        <f t="shared" si="12"/>
        <v>20000</v>
      </c>
      <c r="I88" s="569">
        <f t="shared" si="11"/>
        <v>20000</v>
      </c>
      <c r="J88" s="543">
        <f t="shared" si="9"/>
        <v>0</v>
      </c>
      <c r="K88" s="545" t="str">
        <f t="shared" si="10"/>
        <v/>
      </c>
      <c r="L88" s="662"/>
      <c r="M88" s="539"/>
    </row>
    <row r="89" spans="1:13" x14ac:dyDescent="0.2">
      <c r="A89" s="551">
        <v>5440</v>
      </c>
      <c r="B89" s="540" t="s">
        <v>989</v>
      </c>
      <c r="C89" s="544">
        <v>46269.23</v>
      </c>
      <c r="D89" s="544">
        <v>31458.29</v>
      </c>
      <c r="E89" s="544">
        <v>19023.48</v>
      </c>
      <c r="H89" s="543">
        <f t="shared" si="12"/>
        <v>35000</v>
      </c>
      <c r="I89" s="569">
        <f t="shared" si="11"/>
        <v>35000</v>
      </c>
      <c r="J89" s="543">
        <f t="shared" si="9"/>
        <v>0</v>
      </c>
      <c r="K89" s="545" t="str">
        <f t="shared" si="10"/>
        <v/>
      </c>
      <c r="L89" s="660"/>
      <c r="M89" s="539"/>
    </row>
    <row r="90" spans="1:13" x14ac:dyDescent="0.2">
      <c r="A90" s="551">
        <v>5450</v>
      </c>
      <c r="B90" s="540" t="s">
        <v>997</v>
      </c>
      <c r="C90" s="544">
        <v>32931.160000000003</v>
      </c>
      <c r="D90" s="544">
        <v>34304.69</v>
      </c>
      <c r="E90" s="544">
        <v>88858.54</v>
      </c>
      <c r="H90" s="543">
        <f t="shared" si="12"/>
        <v>20000</v>
      </c>
      <c r="I90" s="569">
        <f t="shared" si="11"/>
        <v>20000</v>
      </c>
      <c r="J90" s="543">
        <f t="shared" si="9"/>
        <v>0</v>
      </c>
      <c r="K90" s="545" t="str">
        <f t="shared" si="10"/>
        <v/>
      </c>
      <c r="L90" s="662"/>
      <c r="M90" s="539"/>
    </row>
    <row r="91" spans="1:13" x14ac:dyDescent="0.2">
      <c r="A91" s="551">
        <v>5470</v>
      </c>
      <c r="B91" s="540" t="s">
        <v>1303</v>
      </c>
      <c r="C91" s="544"/>
      <c r="D91" s="544"/>
      <c r="E91" s="544"/>
      <c r="H91" s="543">
        <f>+J33</f>
        <v>60000</v>
      </c>
      <c r="I91" s="569">
        <f>+L33</f>
        <v>60000</v>
      </c>
      <c r="J91" s="543"/>
      <c r="K91" s="545"/>
      <c r="L91" s="662"/>
      <c r="M91" s="539"/>
    </row>
    <row r="92" spans="1:13" x14ac:dyDescent="0.2">
      <c r="A92" s="551">
        <v>5582</v>
      </c>
      <c r="B92" s="540" t="s">
        <v>168</v>
      </c>
      <c r="C92" s="544"/>
      <c r="D92" s="544"/>
      <c r="E92" s="581">
        <v>2212.6999999999998</v>
      </c>
      <c r="H92" s="543">
        <f t="shared" ref="H92:H96" si="13">+J34</f>
        <v>2750</v>
      </c>
      <c r="I92" s="569">
        <f t="shared" ref="I92:I96" si="14">+L34</f>
        <v>4000</v>
      </c>
      <c r="J92" s="543">
        <f t="shared" si="9"/>
        <v>1250</v>
      </c>
      <c r="K92" s="545">
        <f t="shared" si="10"/>
        <v>0.45450000000000002</v>
      </c>
      <c r="L92" s="662" t="s">
        <v>1607</v>
      </c>
      <c r="M92" s="539"/>
    </row>
    <row r="93" spans="1:13" x14ac:dyDescent="0.2">
      <c r="A93" s="551">
        <v>5740</v>
      </c>
      <c r="B93" s="540" t="s">
        <v>986</v>
      </c>
      <c r="C93" s="544">
        <v>6951.15</v>
      </c>
      <c r="D93" s="544">
        <v>6305.91</v>
      </c>
      <c r="E93" s="544">
        <v>7591.82</v>
      </c>
      <c r="H93" s="543">
        <f t="shared" si="13"/>
        <v>11000</v>
      </c>
      <c r="I93" s="569">
        <f t="shared" si="14"/>
        <v>20000</v>
      </c>
      <c r="J93" s="543">
        <f t="shared" si="9"/>
        <v>9000</v>
      </c>
      <c r="K93" s="545">
        <f t="shared" si="10"/>
        <v>0.81820000000000004</v>
      </c>
      <c r="L93" s="660"/>
      <c r="M93" s="539"/>
    </row>
    <row r="94" spans="1:13" x14ac:dyDescent="0.2">
      <c r="A94" s="551">
        <v>5790</v>
      </c>
      <c r="B94" s="540" t="s">
        <v>987</v>
      </c>
      <c r="C94" s="544">
        <v>38596</v>
      </c>
      <c r="D94" s="544">
        <v>39392</v>
      </c>
      <c r="E94" s="544">
        <v>41414</v>
      </c>
      <c r="H94" s="543">
        <f t="shared" si="13"/>
        <v>48712</v>
      </c>
      <c r="I94" s="569">
        <f t="shared" si="14"/>
        <v>51506</v>
      </c>
      <c r="J94" s="543">
        <f t="shared" si="9"/>
        <v>2794</v>
      </c>
      <c r="K94" s="545">
        <f t="shared" si="10"/>
        <v>5.74E-2</v>
      </c>
      <c r="L94" s="660"/>
      <c r="M94" s="539"/>
    </row>
    <row r="95" spans="1:13" x14ac:dyDescent="0.2">
      <c r="A95" s="551">
        <v>5791</v>
      </c>
      <c r="B95" s="540" t="s">
        <v>988</v>
      </c>
      <c r="C95" s="544">
        <v>3000</v>
      </c>
      <c r="D95" s="544">
        <v>4000</v>
      </c>
      <c r="E95" s="544">
        <v>5000</v>
      </c>
      <c r="H95" s="543">
        <f t="shared" si="13"/>
        <v>7000</v>
      </c>
      <c r="I95" s="569">
        <f t="shared" si="14"/>
        <v>5500</v>
      </c>
      <c r="J95" s="543">
        <f t="shared" si="9"/>
        <v>-1500</v>
      </c>
      <c r="K95" s="545">
        <f t="shared" si="10"/>
        <v>-0.21429999999999999</v>
      </c>
      <c r="L95" s="660"/>
      <c r="M95" s="539"/>
    </row>
    <row r="96" spans="1:13" x14ac:dyDescent="0.2">
      <c r="A96" s="551">
        <v>5795</v>
      </c>
      <c r="B96" s="540" t="s">
        <v>540</v>
      </c>
      <c r="C96" s="544">
        <v>179806</v>
      </c>
      <c r="D96" s="544">
        <v>184545</v>
      </c>
      <c r="E96" s="544">
        <v>189158.6</v>
      </c>
      <c r="H96" s="543">
        <f t="shared" si="13"/>
        <v>205000</v>
      </c>
      <c r="I96" s="569">
        <f t="shared" si="14"/>
        <v>220000</v>
      </c>
      <c r="J96" s="543">
        <f t="shared" si="9"/>
        <v>15000</v>
      </c>
      <c r="K96" s="545">
        <f t="shared" si="10"/>
        <v>7.3200000000000001E-2</v>
      </c>
      <c r="L96" s="660"/>
      <c r="M96" s="539"/>
    </row>
    <row r="97" spans="1:13" x14ac:dyDescent="0.2">
      <c r="A97" s="563">
        <v>5796</v>
      </c>
      <c r="B97" s="563" t="s">
        <v>1601</v>
      </c>
      <c r="C97" s="836"/>
      <c r="D97" s="836"/>
      <c r="E97" s="836"/>
      <c r="H97" s="543">
        <f t="shared" ref="H97" si="15">+J39</f>
        <v>0</v>
      </c>
      <c r="I97" s="569">
        <f t="shared" ref="I97" si="16">+L39</f>
        <v>59245</v>
      </c>
      <c r="J97" s="543">
        <f t="shared" ref="J97" si="17">+I97-H97</f>
        <v>59245</v>
      </c>
      <c r="K97" s="545">
        <f t="shared" ref="K97" si="18">IF(H97+I97&lt;&gt;0,IF(H97&lt;&gt;0,IF(J97&lt;&gt;0,ROUND((+J97/H97),4),""),1),"")</f>
        <v>1</v>
      </c>
      <c r="L97" s="853" t="s">
        <v>1612</v>
      </c>
      <c r="M97" s="837"/>
    </row>
    <row r="99" spans="1:13" x14ac:dyDescent="0.2">
      <c r="A99" s="102"/>
      <c r="B99" s="4" t="s">
        <v>1600</v>
      </c>
      <c r="C99" s="25"/>
      <c r="D99" s="25"/>
      <c r="E99" s="25"/>
      <c r="F99" s="25"/>
      <c r="G99" s="25"/>
      <c r="H99" s="849">
        <f>SUM(H70:H97)</f>
        <v>1441754</v>
      </c>
      <c r="I99" s="849">
        <f>SUM(I70:I97)</f>
        <v>1585763</v>
      </c>
      <c r="J99" s="208">
        <f t="shared" ref="J99" si="19">+I99-H99</f>
        <v>144009</v>
      </c>
      <c r="K99" s="850">
        <f t="shared" ref="K99" si="20">IF(H99+I99&lt;&gt;0,IF(H99&lt;&gt;0,IF(J99&lt;&gt;0,ROUND((+J99/H99),4),""),1),"")</f>
        <v>9.9900000000000003E-2</v>
      </c>
    </row>
  </sheetData>
  <phoneticPr fontId="0" type="noConversion"/>
  <hyperlinks>
    <hyperlink ref="A1" location="'Working Budget with funding det'!A1" display="Main "/>
    <hyperlink ref="B1" location="'Table of Contents'!A1" display="TOC"/>
  </hyperlinks>
  <pageMargins left="0.75" right="0.75" top="1" bottom="1" header="0.5" footer="0.5"/>
  <pageSetup scale="96" fitToHeight="3" orientation="landscape" horizontalDpi="300" verticalDpi="300" r:id="rId1"/>
  <headerFooter alignWithMargins="0">
    <oddFooter>&amp;L&amp;D     &amp;T&amp;C&amp;F&amp;R&amp;A   &amp;P</oddFooter>
  </headerFooter>
  <rowBreaks count="2" manualBreakCount="2">
    <brk id="43" max="16383" man="1"/>
    <brk id="66"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topLeftCell="A7" zoomScale="85" zoomScaleNormal="85" workbookViewId="0">
      <selection activeCell="L27" sqref="L27"/>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6" width="14.5" customWidth="1"/>
    <col min="17" max="17" width="14.6640625" style="2" customWidth="1"/>
  </cols>
  <sheetData>
    <row r="1" spans="1:16" x14ac:dyDescent="0.2">
      <c r="A1" s="410" t="s">
        <v>1013</v>
      </c>
      <c r="B1" s="410" t="s">
        <v>1418</v>
      </c>
      <c r="M1"/>
    </row>
    <row r="2" spans="1:16" ht="15" x14ac:dyDescent="0.25">
      <c r="A2" s="49" t="s">
        <v>264</v>
      </c>
      <c r="B2" s="49"/>
      <c r="E2" s="153"/>
      <c r="H2" s="153" t="s">
        <v>252</v>
      </c>
      <c r="I2" s="67" t="s">
        <v>365</v>
      </c>
      <c r="J2" s="67"/>
      <c r="K2" s="1"/>
      <c r="L2" s="50" t="s">
        <v>503</v>
      </c>
    </row>
    <row r="3" spans="1:16" ht="13.5" thickBot="1" x14ac:dyDescent="0.25">
      <c r="A3" s="4"/>
      <c r="B3" s="4"/>
      <c r="C3" s="25"/>
      <c r="D3" s="25"/>
      <c r="E3" s="25"/>
      <c r="F3" s="25"/>
      <c r="G3" s="25"/>
      <c r="H3" s="25"/>
      <c r="I3" s="25"/>
      <c r="J3" s="25"/>
      <c r="K3" s="4"/>
      <c r="L3" s="25"/>
      <c r="M3" s="4"/>
      <c r="P3" s="4"/>
    </row>
    <row r="4" spans="1:16"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6" x14ac:dyDescent="0.2">
      <c r="A5" s="93"/>
      <c r="B5" s="216"/>
      <c r="C5" s="137"/>
      <c r="D5" s="94"/>
      <c r="E5" s="120"/>
      <c r="F5" s="94"/>
      <c r="G5" s="94"/>
      <c r="H5" s="120"/>
      <c r="I5" s="318"/>
      <c r="J5" s="318"/>
      <c r="K5" s="120" t="s">
        <v>509</v>
      </c>
      <c r="L5" s="95" t="s">
        <v>7</v>
      </c>
      <c r="M5" s="209" t="s">
        <v>783</v>
      </c>
    </row>
    <row r="6" spans="1:16" x14ac:dyDescent="0.2">
      <c r="A6" s="93"/>
      <c r="B6" s="216"/>
      <c r="C6" s="137"/>
      <c r="D6" s="137"/>
      <c r="E6" s="137"/>
      <c r="F6" s="94"/>
      <c r="G6" s="137"/>
      <c r="H6" s="137"/>
      <c r="I6" s="95"/>
      <c r="J6" s="95"/>
      <c r="K6" s="137"/>
      <c r="L6" s="95" t="s">
        <v>8</v>
      </c>
      <c r="M6" s="51" t="s">
        <v>537</v>
      </c>
    </row>
    <row r="7" spans="1:16"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6" ht="13.5" thickTop="1" x14ac:dyDescent="0.2">
      <c r="A8" s="30"/>
      <c r="B8" s="218"/>
      <c r="C8" s="142"/>
      <c r="D8" s="19"/>
      <c r="E8" s="19"/>
      <c r="F8" s="19"/>
      <c r="G8" s="19"/>
      <c r="H8" s="19"/>
      <c r="I8" s="20"/>
      <c r="J8" s="20"/>
      <c r="K8" s="19"/>
      <c r="L8" s="20"/>
      <c r="M8" s="20"/>
    </row>
    <row r="9" spans="1:16" x14ac:dyDescent="0.2">
      <c r="A9" s="12">
        <v>5112</v>
      </c>
      <c r="B9" s="69" t="s">
        <v>154</v>
      </c>
      <c r="C9" s="140">
        <v>4545.67</v>
      </c>
      <c r="D9" s="14">
        <f>63.11+5644.1</f>
        <v>5707.21</v>
      </c>
      <c r="E9" s="14">
        <v>17794.28</v>
      </c>
      <c r="F9" s="14">
        <v>14174.24</v>
      </c>
      <c r="G9" s="14">
        <v>9439.34</v>
      </c>
      <c r="H9" s="14">
        <v>11085.96</v>
      </c>
      <c r="I9" s="14">
        <v>12666.61</v>
      </c>
      <c r="J9" s="15">
        <v>21300</v>
      </c>
      <c r="K9" s="14">
        <v>74.8</v>
      </c>
      <c r="L9" s="15">
        <v>21300</v>
      </c>
      <c r="M9" s="15"/>
    </row>
    <row r="10" spans="1:16" x14ac:dyDescent="0.2">
      <c r="A10" s="12">
        <v>5132</v>
      </c>
      <c r="B10" s="69" t="s">
        <v>186</v>
      </c>
      <c r="C10" s="140">
        <v>1961.27</v>
      </c>
      <c r="D10" s="14">
        <f>1.68+2428.95</f>
        <v>2430.6299999999997</v>
      </c>
      <c r="E10" s="14">
        <v>1931.5</v>
      </c>
      <c r="F10" s="14">
        <v>855.54</v>
      </c>
      <c r="G10" s="14">
        <v>1837.89</v>
      </c>
      <c r="H10" s="14">
        <v>2301.96</v>
      </c>
      <c r="I10" s="14">
        <v>6062.31</v>
      </c>
      <c r="J10" s="15">
        <v>2500</v>
      </c>
      <c r="K10" s="14">
        <v>170.37</v>
      </c>
      <c r="L10" s="15">
        <v>2500</v>
      </c>
      <c r="M10" s="15"/>
    </row>
    <row r="11" spans="1:16" ht="13.5" thickBot="1" x14ac:dyDescent="0.25">
      <c r="A11" s="12">
        <v>5142</v>
      </c>
      <c r="B11" s="69" t="s">
        <v>159</v>
      </c>
      <c r="C11" s="811">
        <v>862.96</v>
      </c>
      <c r="D11" s="32">
        <f>2.9+312.47</f>
        <v>315.37</v>
      </c>
      <c r="E11" s="32">
        <v>548.44000000000005</v>
      </c>
      <c r="F11" s="32">
        <v>715.7</v>
      </c>
      <c r="G11" s="32">
        <v>802.76</v>
      </c>
      <c r="H11" s="32">
        <v>433.84</v>
      </c>
      <c r="I11" s="32">
        <v>541.12</v>
      </c>
      <c r="J11" s="33">
        <v>1000</v>
      </c>
      <c r="K11" s="32">
        <v>10.63</v>
      </c>
      <c r="L11" s="33">
        <v>1000</v>
      </c>
      <c r="M11" s="33"/>
    </row>
    <row r="12" spans="1:16" x14ac:dyDescent="0.2">
      <c r="A12" s="12"/>
      <c r="B12" s="70" t="s">
        <v>125</v>
      </c>
      <c r="C12" s="812">
        <f t="shared" ref="C12:K12" si="0">SUM(C9:C11)</f>
        <v>7369.9000000000005</v>
      </c>
      <c r="D12" s="34">
        <f t="shared" si="0"/>
        <v>8453.2100000000009</v>
      </c>
      <c r="E12" s="34">
        <f t="shared" si="0"/>
        <v>20274.219999999998</v>
      </c>
      <c r="F12" s="34">
        <f>SUM(F9:F11)</f>
        <v>15745.48</v>
      </c>
      <c r="G12" s="34">
        <f>SUM(G9:G11)</f>
        <v>12079.99</v>
      </c>
      <c r="H12" s="34">
        <f>SUM(H9:H11)</f>
        <v>13821.759999999998</v>
      </c>
      <c r="I12" s="34">
        <f>SUM(I9:I11)</f>
        <v>19270.04</v>
      </c>
      <c r="J12" s="35">
        <f>SUM(J9:J11)</f>
        <v>24800</v>
      </c>
      <c r="K12" s="34">
        <f t="shared" si="0"/>
        <v>255.8</v>
      </c>
      <c r="L12" s="35">
        <f>SUM(L9:L11)</f>
        <v>24800</v>
      </c>
      <c r="M12" s="35">
        <f>+L12</f>
        <v>24800</v>
      </c>
    </row>
    <row r="13" spans="1:16" x14ac:dyDescent="0.2">
      <c r="A13" s="12"/>
      <c r="B13" s="69"/>
      <c r="C13" s="140"/>
      <c r="D13" s="14"/>
      <c r="E13" s="14"/>
      <c r="F13" s="14"/>
      <c r="G13" s="14"/>
      <c r="H13" s="14"/>
      <c r="I13" s="14"/>
      <c r="J13" s="15"/>
      <c r="K13" s="14"/>
      <c r="L13" s="15"/>
      <c r="M13" s="15"/>
    </row>
    <row r="14" spans="1:16" x14ac:dyDescent="0.2">
      <c r="A14" s="12">
        <v>5249</v>
      </c>
      <c r="B14" s="69" t="s">
        <v>248</v>
      </c>
      <c r="C14" s="140">
        <v>400</v>
      </c>
      <c r="D14" s="14">
        <v>0</v>
      </c>
      <c r="E14" s="14">
        <v>16295.59</v>
      </c>
      <c r="F14" s="14"/>
      <c r="G14" s="14"/>
      <c r="H14" s="14"/>
      <c r="I14" s="14">
        <v>0</v>
      </c>
      <c r="J14" s="15">
        <v>1000</v>
      </c>
      <c r="K14" s="14"/>
      <c r="L14" s="15">
        <v>1000</v>
      </c>
      <c r="M14" s="15"/>
    </row>
    <row r="15" spans="1:16" x14ac:dyDescent="0.2">
      <c r="A15" s="12">
        <v>5252</v>
      </c>
      <c r="B15" s="69" t="s">
        <v>249</v>
      </c>
      <c r="C15" s="140">
        <v>6272.16</v>
      </c>
      <c r="D15" s="14">
        <v>160.99</v>
      </c>
      <c r="E15" s="14">
        <v>1050</v>
      </c>
      <c r="F15" s="14">
        <v>592.44000000000005</v>
      </c>
      <c r="G15" s="14"/>
      <c r="H15" s="14"/>
      <c r="I15" s="14">
        <v>0</v>
      </c>
      <c r="J15" s="15">
        <v>4500</v>
      </c>
      <c r="K15" s="14">
        <v>1140</v>
      </c>
      <c r="L15" s="15">
        <v>4500</v>
      </c>
      <c r="M15" s="15"/>
    </row>
    <row r="16" spans="1:16" x14ac:dyDescent="0.2">
      <c r="A16" s="12">
        <v>5271</v>
      </c>
      <c r="B16" s="69" t="s">
        <v>250</v>
      </c>
      <c r="C16" s="140">
        <v>100</v>
      </c>
      <c r="D16" s="14">
        <v>100</v>
      </c>
      <c r="E16" s="14"/>
      <c r="F16" s="14">
        <v>100</v>
      </c>
      <c r="G16" s="14">
        <v>100</v>
      </c>
      <c r="H16" s="14">
        <v>100</v>
      </c>
      <c r="I16" s="14">
        <v>100</v>
      </c>
      <c r="J16" s="15">
        <v>500</v>
      </c>
      <c r="K16" s="14">
        <v>100</v>
      </c>
      <c r="L16" s="15">
        <v>500</v>
      </c>
      <c r="M16" s="15"/>
    </row>
    <row r="17" spans="1:16" x14ac:dyDescent="0.2">
      <c r="A17" s="12">
        <v>5277</v>
      </c>
      <c r="B17" s="69" t="s">
        <v>201</v>
      </c>
      <c r="C17" s="140"/>
      <c r="D17" s="14">
        <v>0</v>
      </c>
      <c r="E17" s="14"/>
      <c r="F17" s="14"/>
      <c r="G17" s="14"/>
      <c r="H17" s="14"/>
      <c r="I17" s="14">
        <v>0</v>
      </c>
      <c r="J17" s="15">
        <v>1000</v>
      </c>
      <c r="K17" s="14"/>
      <c r="L17" s="15">
        <v>1000</v>
      </c>
      <c r="M17" s="15"/>
    </row>
    <row r="18" spans="1:16" x14ac:dyDescent="0.2">
      <c r="A18" s="12">
        <v>5283</v>
      </c>
      <c r="B18" s="69" t="s">
        <v>130</v>
      </c>
      <c r="C18" s="140">
        <v>386.2</v>
      </c>
      <c r="D18" s="14">
        <v>0</v>
      </c>
      <c r="E18" s="14"/>
      <c r="F18" s="14"/>
      <c r="G18" s="14"/>
      <c r="H18" s="14"/>
      <c r="I18" s="14">
        <v>0</v>
      </c>
      <c r="J18" s="15">
        <v>1000</v>
      </c>
      <c r="K18" s="14"/>
      <c r="L18" s="15">
        <v>1000</v>
      </c>
      <c r="M18" s="15"/>
    </row>
    <row r="19" spans="1:16" x14ac:dyDescent="0.2">
      <c r="A19" s="12">
        <v>5303</v>
      </c>
      <c r="B19" s="13" t="s">
        <v>247</v>
      </c>
      <c r="C19" s="14"/>
      <c r="D19" s="14">
        <v>0</v>
      </c>
      <c r="E19" s="14"/>
      <c r="F19" s="14"/>
      <c r="G19" s="14"/>
      <c r="H19" s="14"/>
      <c r="I19" s="14">
        <v>0</v>
      </c>
      <c r="J19" s="15">
        <v>300</v>
      </c>
      <c r="K19" s="14"/>
      <c r="L19" s="15">
        <v>300</v>
      </c>
      <c r="M19" s="15"/>
    </row>
    <row r="20" spans="1:16" x14ac:dyDescent="0.2">
      <c r="A20" s="12">
        <v>5443</v>
      </c>
      <c r="B20" s="13" t="s">
        <v>251</v>
      </c>
      <c r="C20" s="19">
        <v>7655.99</v>
      </c>
      <c r="D20" s="19">
        <v>8625.1200000000008</v>
      </c>
      <c r="E20" s="19">
        <v>2764.54</v>
      </c>
      <c r="F20" s="19">
        <v>30514.94</v>
      </c>
      <c r="G20" s="19">
        <v>6447.4</v>
      </c>
      <c r="H20" s="19">
        <v>5197.7</v>
      </c>
      <c r="I20" s="19">
        <v>7617.74</v>
      </c>
      <c r="J20" s="20">
        <v>5000</v>
      </c>
      <c r="K20" s="19">
        <v>1820.48</v>
      </c>
      <c r="L20" s="20">
        <v>5000</v>
      </c>
      <c r="M20" s="20"/>
    </row>
    <row r="21" spans="1:16" ht="13.5" thickBot="1" x14ac:dyDescent="0.25">
      <c r="A21" s="12">
        <v>5530</v>
      </c>
      <c r="B21" s="13" t="s">
        <v>204</v>
      </c>
      <c r="C21" s="16">
        <v>210.4</v>
      </c>
      <c r="D21" s="16">
        <v>0</v>
      </c>
      <c r="E21" s="16">
        <v>1294.25</v>
      </c>
      <c r="F21" s="16"/>
      <c r="G21" s="16">
        <v>978.6</v>
      </c>
      <c r="H21" s="16">
        <v>38.25</v>
      </c>
      <c r="I21" s="16">
        <v>0</v>
      </c>
      <c r="J21" s="17">
        <v>4700</v>
      </c>
      <c r="K21" s="16"/>
      <c r="L21" s="17">
        <v>4700</v>
      </c>
      <c r="M21" s="17"/>
    </row>
    <row r="22" spans="1:16" x14ac:dyDescent="0.2">
      <c r="A22" s="12"/>
      <c r="B22" s="70" t="s">
        <v>442</v>
      </c>
      <c r="C22" s="34">
        <f t="shared" ref="C22:K22" si="1">SUM(C14:C21)</f>
        <v>15024.749999999998</v>
      </c>
      <c r="D22" s="34">
        <f t="shared" si="1"/>
        <v>8886.11</v>
      </c>
      <c r="E22" s="34">
        <f t="shared" si="1"/>
        <v>21404.38</v>
      </c>
      <c r="F22" s="34">
        <f>SUM(F14:F21)</f>
        <v>31207.379999999997</v>
      </c>
      <c r="G22" s="34">
        <f>SUM(G14:G21)</f>
        <v>7526</v>
      </c>
      <c r="H22" s="34">
        <f>SUM(H14:H21)</f>
        <v>5335.95</v>
      </c>
      <c r="I22" s="34">
        <f>SUM(I14:I21)</f>
        <v>7717.74</v>
      </c>
      <c r="J22" s="35">
        <f>SUM(J14:J21)</f>
        <v>18000</v>
      </c>
      <c r="K22" s="127">
        <f t="shared" si="1"/>
        <v>3060.48</v>
      </c>
      <c r="L22" s="35">
        <f>SUM(L14:L21)</f>
        <v>18000</v>
      </c>
      <c r="M22" s="35">
        <f>+L22</f>
        <v>18000</v>
      </c>
    </row>
    <row r="23" spans="1:16" x14ac:dyDescent="0.2">
      <c r="A23" s="12"/>
      <c r="B23" s="70"/>
      <c r="C23" s="19"/>
      <c r="D23" s="19"/>
      <c r="E23" s="19"/>
      <c r="F23" s="19"/>
      <c r="G23" s="19"/>
      <c r="H23" s="19"/>
      <c r="I23" s="19"/>
      <c r="J23" s="20"/>
      <c r="K23" s="127"/>
      <c r="L23" s="20"/>
      <c r="M23" s="20"/>
    </row>
    <row r="24" spans="1:16" ht="13.5" thickBot="1" x14ac:dyDescent="0.25">
      <c r="A24" s="12">
        <v>5800</v>
      </c>
      <c r="B24" s="69" t="s">
        <v>272</v>
      </c>
      <c r="C24" s="16">
        <v>2116.23</v>
      </c>
      <c r="D24" s="16">
        <v>0</v>
      </c>
      <c r="E24" s="16">
        <v>0</v>
      </c>
      <c r="F24" s="16">
        <v>6467.28</v>
      </c>
      <c r="G24" s="16"/>
      <c r="H24" s="16"/>
      <c r="I24" s="16">
        <v>0</v>
      </c>
      <c r="J24" s="17">
        <v>8000</v>
      </c>
      <c r="K24" s="186"/>
      <c r="L24" s="17">
        <v>8000</v>
      </c>
      <c r="M24" s="17"/>
    </row>
    <row r="25" spans="1:16" x14ac:dyDescent="0.2">
      <c r="A25" s="12"/>
      <c r="B25" s="70" t="s">
        <v>131</v>
      </c>
      <c r="C25" s="19">
        <f t="shared" ref="C25:L25" si="2">+C24</f>
        <v>2116.23</v>
      </c>
      <c r="D25" s="19">
        <f t="shared" si="2"/>
        <v>0</v>
      </c>
      <c r="E25" s="19">
        <f t="shared" si="2"/>
        <v>0</v>
      </c>
      <c r="F25" s="19">
        <f>+F24</f>
        <v>6467.28</v>
      </c>
      <c r="G25" s="19">
        <f>+G24</f>
        <v>0</v>
      </c>
      <c r="H25" s="19">
        <f>+H24</f>
        <v>0</v>
      </c>
      <c r="I25" s="19">
        <f>+I24</f>
        <v>0</v>
      </c>
      <c r="J25" s="20">
        <f t="shared" ref="J25" si="3">+J24</f>
        <v>8000</v>
      </c>
      <c r="K25" s="157">
        <f t="shared" si="2"/>
        <v>0</v>
      </c>
      <c r="L25" s="20">
        <f t="shared" si="2"/>
        <v>8000</v>
      </c>
      <c r="M25" s="20">
        <f>+L25</f>
        <v>8000</v>
      </c>
    </row>
    <row r="26" spans="1:16" x14ac:dyDescent="0.2">
      <c r="A26" s="12"/>
      <c r="B26" s="69"/>
      <c r="C26" s="14"/>
      <c r="D26" s="14"/>
      <c r="E26" s="14"/>
      <c r="F26" s="14"/>
      <c r="G26" s="14"/>
      <c r="H26" s="14"/>
      <c r="I26" s="14"/>
      <c r="J26" s="15"/>
      <c r="K26" s="14"/>
      <c r="L26" s="15"/>
      <c r="M26" s="15"/>
    </row>
    <row r="27" spans="1:16" ht="13.5" thickBot="1" x14ac:dyDescent="0.25">
      <c r="A27" s="21"/>
      <c r="B27" s="22" t="s">
        <v>460</v>
      </c>
      <c r="C27" s="23">
        <f t="shared" ref="C27:M27" si="4">+C22+C12+C25</f>
        <v>24510.879999999997</v>
      </c>
      <c r="D27" s="23">
        <f t="shared" si="4"/>
        <v>17339.32</v>
      </c>
      <c r="E27" s="23">
        <f t="shared" si="4"/>
        <v>41678.6</v>
      </c>
      <c r="F27" s="23">
        <f>+F25+F22+F12</f>
        <v>53420.14</v>
      </c>
      <c r="G27" s="23">
        <f>+G25+G22+G12</f>
        <v>19605.989999999998</v>
      </c>
      <c r="H27" s="23">
        <f>+H25+H22+H12</f>
        <v>19157.71</v>
      </c>
      <c r="I27" s="23">
        <f>+I22+I12+I25</f>
        <v>26987.78</v>
      </c>
      <c r="J27" s="24">
        <f t="shared" ref="J27" si="5">+J22+J12+J25</f>
        <v>50800</v>
      </c>
      <c r="K27" s="23">
        <f t="shared" si="4"/>
        <v>3316.28</v>
      </c>
      <c r="L27" s="24">
        <f t="shared" si="4"/>
        <v>50800</v>
      </c>
      <c r="M27" s="24">
        <f t="shared" si="4"/>
        <v>50800</v>
      </c>
    </row>
    <row r="28" spans="1:16" ht="13.5" thickTop="1" x14ac:dyDescent="0.2">
      <c r="A28" s="4"/>
      <c r="B28" s="4"/>
      <c r="C28" s="25"/>
      <c r="D28" s="25"/>
      <c r="E28" s="25"/>
      <c r="F28" s="25"/>
      <c r="G28" s="25"/>
      <c r="H28" s="25"/>
      <c r="I28" s="25"/>
      <c r="J28" s="25"/>
      <c r="K28" s="29"/>
      <c r="L28" s="25"/>
      <c r="M28" s="25"/>
      <c r="N28" s="29"/>
      <c r="O28" s="29"/>
      <c r="P28" s="29"/>
    </row>
    <row r="29" spans="1:16" x14ac:dyDescent="0.2">
      <c r="A29" s="4"/>
      <c r="B29" s="4"/>
      <c r="C29" s="25"/>
      <c r="D29" s="25"/>
      <c r="E29" s="25"/>
      <c r="F29" s="25"/>
      <c r="G29" s="25"/>
      <c r="H29" s="25"/>
      <c r="I29" s="25"/>
      <c r="J29" s="25"/>
      <c r="K29" s="29"/>
      <c r="L29" s="25"/>
      <c r="M29" s="29"/>
      <c r="N29" s="29"/>
      <c r="O29" s="29"/>
      <c r="P29" s="29"/>
    </row>
    <row r="30" spans="1:16" ht="13.5" thickBot="1" x14ac:dyDescent="0.25">
      <c r="A30" s="197"/>
      <c r="C30" s="25"/>
      <c r="D30" s="25"/>
      <c r="E30" s="25"/>
      <c r="G30" s="86"/>
      <c r="H30" s="25"/>
      <c r="I30" s="25"/>
      <c r="J30" s="25"/>
      <c r="K30" s="29"/>
      <c r="L30" s="25"/>
      <c r="M30" s="25"/>
      <c r="N30" s="29"/>
      <c r="O30" s="29"/>
      <c r="P30" s="29"/>
    </row>
    <row r="31" spans="1:16" ht="13.5" thickTop="1" x14ac:dyDescent="0.2">
      <c r="A31" s="517"/>
      <c r="B31" s="518"/>
      <c r="C31" s="519" t="s">
        <v>122</v>
      </c>
      <c r="D31" s="520" t="s">
        <v>122</v>
      </c>
      <c r="E31" s="520" t="s">
        <v>122</v>
      </c>
      <c r="H31" s="521" t="s">
        <v>542</v>
      </c>
      <c r="I31" s="522" t="s">
        <v>9</v>
      </c>
      <c r="J31" s="523" t="s">
        <v>1073</v>
      </c>
      <c r="K31" s="522" t="s">
        <v>682</v>
      </c>
      <c r="L31" s="524"/>
      <c r="M31" s="523"/>
      <c r="N31" s="29"/>
      <c r="O31" s="29"/>
      <c r="P31" s="29"/>
    </row>
    <row r="32" spans="1:16" ht="13.5" thickBot="1" x14ac:dyDescent="0.25">
      <c r="A32" s="525" t="s">
        <v>123</v>
      </c>
      <c r="B32" s="526"/>
      <c r="C32" s="527" t="s">
        <v>334</v>
      </c>
      <c r="D32" s="527" t="s">
        <v>718</v>
      </c>
      <c r="E32" s="528" t="s">
        <v>734</v>
      </c>
      <c r="H32" s="529" t="s">
        <v>899</v>
      </c>
      <c r="I32" s="529" t="s">
        <v>900</v>
      </c>
      <c r="J32" s="528" t="s">
        <v>1075</v>
      </c>
      <c r="K32" s="530" t="s">
        <v>1075</v>
      </c>
      <c r="L32" s="531" t="s">
        <v>1074</v>
      </c>
      <c r="M32" s="529"/>
      <c r="N32" s="29"/>
      <c r="O32" s="29"/>
      <c r="P32" s="29"/>
    </row>
    <row r="33" spans="1:16" ht="13.5" thickTop="1" x14ac:dyDescent="0.2">
      <c r="A33" s="548"/>
      <c r="B33" s="549"/>
      <c r="C33" s="536"/>
      <c r="D33" s="536"/>
      <c r="E33" s="536"/>
      <c r="H33" s="537"/>
      <c r="I33" s="536"/>
      <c r="J33" s="537"/>
      <c r="K33" s="536"/>
      <c r="L33" s="606"/>
      <c r="M33" s="607"/>
      <c r="N33" s="29"/>
      <c r="O33" s="29"/>
      <c r="P33" s="29"/>
    </row>
    <row r="34" spans="1:16" x14ac:dyDescent="0.2">
      <c r="A34" s="551">
        <v>5112</v>
      </c>
      <c r="B34" s="540" t="s">
        <v>154</v>
      </c>
      <c r="C34" s="544">
        <v>4545.67</v>
      </c>
      <c r="D34" s="544">
        <f>63.11+5644.1</f>
        <v>5707.21</v>
      </c>
      <c r="E34" s="544">
        <v>17794.28</v>
      </c>
      <c r="H34" s="543">
        <f>+J9</f>
        <v>21300</v>
      </c>
      <c r="I34" s="544">
        <f>+L9</f>
        <v>21300</v>
      </c>
      <c r="J34" s="543">
        <f t="shared" ref="J34:J46" si="6">+I34-H34</f>
        <v>0</v>
      </c>
      <c r="K34" s="545" t="str">
        <f t="shared" ref="K34:K46" si="7">IF(H34+I34&lt;&gt;0,IF(H34&lt;&gt;0,IF(J34&lt;&gt;0,ROUND((+J34/H34),4),""),1),"")</f>
        <v/>
      </c>
      <c r="L34" s="538"/>
      <c r="M34" s="539"/>
      <c r="N34" s="29"/>
      <c r="O34" s="29"/>
      <c r="P34" s="29"/>
    </row>
    <row r="35" spans="1:16" x14ac:dyDescent="0.2">
      <c r="A35" s="551">
        <v>5132</v>
      </c>
      <c r="B35" s="540" t="s">
        <v>186</v>
      </c>
      <c r="C35" s="544">
        <v>1961.27</v>
      </c>
      <c r="D35" s="544">
        <f>1.68+2428.95</f>
        <v>2430.6299999999997</v>
      </c>
      <c r="E35" s="544">
        <v>1931.5</v>
      </c>
      <c r="H35" s="543">
        <f t="shared" ref="H35:H36" si="8">+J10</f>
        <v>2500</v>
      </c>
      <c r="I35" s="544">
        <f>+L10</f>
        <v>2500</v>
      </c>
      <c r="J35" s="543">
        <f t="shared" si="6"/>
        <v>0</v>
      </c>
      <c r="K35" s="545" t="str">
        <f t="shared" si="7"/>
        <v/>
      </c>
      <c r="L35" s="608"/>
      <c r="M35" s="572"/>
      <c r="N35" s="29"/>
      <c r="O35" s="29"/>
      <c r="P35" s="29"/>
    </row>
    <row r="36" spans="1:16" x14ac:dyDescent="0.2">
      <c r="A36" s="551">
        <v>5142</v>
      </c>
      <c r="B36" s="540" t="s">
        <v>159</v>
      </c>
      <c r="C36" s="550">
        <v>862.96</v>
      </c>
      <c r="D36" s="550">
        <f>2.9+312.47</f>
        <v>315.37</v>
      </c>
      <c r="E36" s="550">
        <v>548.44000000000005</v>
      </c>
      <c r="H36" s="543">
        <f t="shared" si="8"/>
        <v>1000</v>
      </c>
      <c r="I36" s="544">
        <f>+L11</f>
        <v>1000</v>
      </c>
      <c r="J36" s="543">
        <f t="shared" si="6"/>
        <v>0</v>
      </c>
      <c r="K36" s="545" t="str">
        <f t="shared" si="7"/>
        <v/>
      </c>
      <c r="L36" s="553"/>
      <c r="M36" s="572"/>
      <c r="N36" s="29"/>
      <c r="O36" s="29"/>
      <c r="P36" s="29"/>
    </row>
    <row r="37" spans="1:16" x14ac:dyDescent="0.2">
      <c r="A37" s="551">
        <v>5249</v>
      </c>
      <c r="B37" s="540" t="s">
        <v>248</v>
      </c>
      <c r="C37" s="544">
        <v>400</v>
      </c>
      <c r="D37" s="544">
        <v>0</v>
      </c>
      <c r="E37" s="544">
        <v>16295.59</v>
      </c>
      <c r="H37" s="543">
        <f>+J14</f>
        <v>1000</v>
      </c>
      <c r="I37" s="536">
        <f t="shared" ref="I37:I44" si="9">+L14</f>
        <v>1000</v>
      </c>
      <c r="J37" s="543">
        <f t="shared" si="6"/>
        <v>0</v>
      </c>
      <c r="K37" s="545" t="str">
        <f t="shared" si="7"/>
        <v/>
      </c>
      <c r="L37" s="538"/>
      <c r="M37" s="539"/>
      <c r="N37" s="29"/>
      <c r="O37" s="29"/>
      <c r="P37" s="29"/>
    </row>
    <row r="38" spans="1:16" x14ac:dyDescent="0.2">
      <c r="A38" s="551">
        <v>5252</v>
      </c>
      <c r="B38" s="540" t="s">
        <v>249</v>
      </c>
      <c r="C38" s="544">
        <v>6272.16</v>
      </c>
      <c r="D38" s="544">
        <v>160.99</v>
      </c>
      <c r="E38" s="544">
        <v>1050</v>
      </c>
      <c r="H38" s="543">
        <f t="shared" ref="H38:H46" si="10">+J15</f>
        <v>4500</v>
      </c>
      <c r="I38" s="544">
        <f t="shared" si="9"/>
        <v>4500</v>
      </c>
      <c r="J38" s="543">
        <f t="shared" si="6"/>
        <v>0</v>
      </c>
      <c r="K38" s="545" t="str">
        <f t="shared" si="7"/>
        <v/>
      </c>
      <c r="L38" s="538"/>
      <c r="M38" s="539"/>
      <c r="N38" s="29"/>
      <c r="O38" s="29"/>
      <c r="P38" s="29"/>
    </row>
    <row r="39" spans="1:16" x14ac:dyDescent="0.2">
      <c r="A39" s="551">
        <v>5271</v>
      </c>
      <c r="B39" s="540" t="s">
        <v>250</v>
      </c>
      <c r="C39" s="544">
        <v>100</v>
      </c>
      <c r="D39" s="544">
        <v>100</v>
      </c>
      <c r="E39" s="544"/>
      <c r="H39" s="543">
        <f t="shared" si="10"/>
        <v>500</v>
      </c>
      <c r="I39" s="544">
        <f t="shared" si="9"/>
        <v>500</v>
      </c>
      <c r="J39" s="543">
        <f t="shared" si="6"/>
        <v>0</v>
      </c>
      <c r="K39" s="545" t="str">
        <f t="shared" si="7"/>
        <v/>
      </c>
      <c r="L39" s="553"/>
      <c r="M39" s="572"/>
      <c r="N39" s="29"/>
      <c r="O39" s="29"/>
      <c r="P39" s="29"/>
    </row>
    <row r="40" spans="1:16" x14ac:dyDescent="0.2">
      <c r="A40" s="551">
        <v>5277</v>
      </c>
      <c r="B40" s="540" t="s">
        <v>201</v>
      </c>
      <c r="C40" s="544"/>
      <c r="D40" s="544">
        <v>0</v>
      </c>
      <c r="E40" s="544"/>
      <c r="H40" s="543">
        <f t="shared" si="10"/>
        <v>1000</v>
      </c>
      <c r="I40" s="544">
        <f t="shared" si="9"/>
        <v>1000</v>
      </c>
      <c r="J40" s="543">
        <f t="shared" si="6"/>
        <v>0</v>
      </c>
      <c r="K40" s="545" t="str">
        <f t="shared" si="7"/>
        <v/>
      </c>
      <c r="L40" s="553"/>
      <c r="M40" s="572"/>
      <c r="N40" s="29"/>
      <c r="O40" s="29"/>
      <c r="P40" s="29"/>
    </row>
    <row r="41" spans="1:16" x14ac:dyDescent="0.2">
      <c r="A41" s="551">
        <v>5283</v>
      </c>
      <c r="B41" s="540" t="s">
        <v>130</v>
      </c>
      <c r="C41" s="544">
        <v>386.2</v>
      </c>
      <c r="D41" s="544">
        <v>0</v>
      </c>
      <c r="E41" s="544"/>
      <c r="H41" s="543">
        <f t="shared" si="10"/>
        <v>1000</v>
      </c>
      <c r="I41" s="544">
        <f t="shared" si="9"/>
        <v>1000</v>
      </c>
      <c r="J41" s="543">
        <f t="shared" si="6"/>
        <v>0</v>
      </c>
      <c r="K41" s="545" t="str">
        <f t="shared" si="7"/>
        <v/>
      </c>
      <c r="L41" s="553"/>
      <c r="M41" s="572"/>
      <c r="N41" s="29"/>
      <c r="O41" s="29"/>
      <c r="P41" s="29"/>
    </row>
    <row r="42" spans="1:16" x14ac:dyDescent="0.2">
      <c r="A42" s="551">
        <v>5303</v>
      </c>
      <c r="B42" s="540" t="s">
        <v>247</v>
      </c>
      <c r="C42" s="544"/>
      <c r="D42" s="544">
        <v>0</v>
      </c>
      <c r="E42" s="544"/>
      <c r="H42" s="543">
        <f t="shared" si="10"/>
        <v>300</v>
      </c>
      <c r="I42" s="544">
        <f t="shared" si="9"/>
        <v>300</v>
      </c>
      <c r="J42" s="543">
        <f t="shared" si="6"/>
        <v>0</v>
      </c>
      <c r="K42" s="545" t="str">
        <f t="shared" si="7"/>
        <v/>
      </c>
      <c r="L42" s="553"/>
      <c r="M42" s="572"/>
      <c r="N42" s="29"/>
      <c r="O42" s="29"/>
      <c r="P42" s="29"/>
    </row>
    <row r="43" spans="1:16" x14ac:dyDescent="0.2">
      <c r="A43" s="551">
        <v>5443</v>
      </c>
      <c r="B43" s="540" t="s">
        <v>251</v>
      </c>
      <c r="C43" s="536">
        <v>7655.99</v>
      </c>
      <c r="D43" s="536">
        <v>8625.1200000000008</v>
      </c>
      <c r="E43" s="536">
        <v>2764.54</v>
      </c>
      <c r="H43" s="543">
        <f t="shared" si="10"/>
        <v>5000</v>
      </c>
      <c r="I43" s="544">
        <f t="shared" si="9"/>
        <v>5000</v>
      </c>
      <c r="J43" s="543">
        <f t="shared" si="6"/>
        <v>0</v>
      </c>
      <c r="K43" s="545" t="str">
        <f t="shared" si="7"/>
        <v/>
      </c>
      <c r="L43" s="553"/>
      <c r="M43" s="572"/>
      <c r="N43" s="29"/>
      <c r="O43" s="29"/>
      <c r="P43" s="29"/>
    </row>
    <row r="44" spans="1:16" ht="13.5" thickBot="1" x14ac:dyDescent="0.25">
      <c r="A44" s="551">
        <v>5530</v>
      </c>
      <c r="B44" s="540" t="s">
        <v>204</v>
      </c>
      <c r="C44" s="542">
        <v>210.4</v>
      </c>
      <c r="D44" s="542">
        <v>0</v>
      </c>
      <c r="E44" s="542">
        <v>1294.25</v>
      </c>
      <c r="H44" s="543">
        <f t="shared" si="10"/>
        <v>4700</v>
      </c>
      <c r="I44" s="544">
        <f t="shared" si="9"/>
        <v>4700</v>
      </c>
      <c r="J44" s="543">
        <f t="shared" si="6"/>
        <v>0</v>
      </c>
      <c r="K44" s="545" t="str">
        <f t="shared" si="7"/>
        <v/>
      </c>
      <c r="L44" s="553"/>
      <c r="M44" s="572"/>
      <c r="N44" s="29"/>
      <c r="O44" s="29"/>
      <c r="P44" s="29"/>
    </row>
    <row r="45" spans="1:16" ht="13.5" thickBot="1" x14ac:dyDescent="0.25">
      <c r="A45" s="551">
        <v>5800</v>
      </c>
      <c r="B45" s="573" t="s">
        <v>272</v>
      </c>
      <c r="C45" s="542">
        <v>2116.23</v>
      </c>
      <c r="D45" s="542">
        <v>0</v>
      </c>
      <c r="E45" s="542">
        <v>0</v>
      </c>
      <c r="H45" s="543">
        <f>+J24</f>
        <v>8000</v>
      </c>
      <c r="I45" s="544">
        <f>+L24</f>
        <v>8000</v>
      </c>
      <c r="J45" s="543">
        <f t="shared" si="6"/>
        <v>0</v>
      </c>
      <c r="K45" s="545" t="str">
        <f t="shared" si="7"/>
        <v/>
      </c>
      <c r="L45" s="553"/>
      <c r="M45" s="572"/>
      <c r="N45" s="29"/>
      <c r="O45" s="29"/>
      <c r="P45" s="29"/>
    </row>
    <row r="46" spans="1:16" x14ac:dyDescent="0.2">
      <c r="A46" s="551"/>
      <c r="B46" s="573"/>
      <c r="C46" s="544"/>
      <c r="D46" s="544"/>
      <c r="E46" s="544"/>
      <c r="H46" s="543">
        <f t="shared" si="10"/>
        <v>0</v>
      </c>
      <c r="I46" s="536">
        <f>+L26</f>
        <v>0</v>
      </c>
      <c r="J46" s="543">
        <f t="shared" si="6"/>
        <v>0</v>
      </c>
      <c r="K46" s="545" t="str">
        <f t="shared" si="7"/>
        <v/>
      </c>
      <c r="L46" s="553"/>
      <c r="M46" s="572"/>
      <c r="N46" s="29"/>
      <c r="O46" s="29"/>
      <c r="P46" s="29"/>
    </row>
    <row r="47" spans="1:16" x14ac:dyDescent="0.2">
      <c r="A47" s="4"/>
      <c r="B47" s="4"/>
      <c r="C47" s="25"/>
      <c r="D47" s="25"/>
      <c r="E47" s="25"/>
      <c r="F47" s="25"/>
      <c r="G47" s="25"/>
      <c r="H47" s="25"/>
      <c r="I47" s="25"/>
      <c r="J47" s="25"/>
      <c r="K47" s="29"/>
      <c r="L47" s="25"/>
      <c r="M47" s="25"/>
      <c r="N47" s="29"/>
      <c r="O47" s="29"/>
      <c r="P47" s="29"/>
    </row>
    <row r="48" spans="1:16" x14ac:dyDescent="0.2">
      <c r="A48" s="4"/>
      <c r="B48" s="4" t="s">
        <v>1600</v>
      </c>
      <c r="C48" s="25"/>
      <c r="D48" s="25"/>
      <c r="E48" s="25"/>
      <c r="F48" s="25"/>
      <c r="G48" s="25"/>
      <c r="H48" s="849">
        <f>SUM(H33:H47)</f>
        <v>50800</v>
      </c>
      <c r="I48" s="849">
        <f>SUM(I33:I47)</f>
        <v>50800</v>
      </c>
      <c r="J48" s="208">
        <f t="shared" ref="J48" si="11">+I48-H48</f>
        <v>0</v>
      </c>
      <c r="K48" s="850" t="str">
        <f t="shared" ref="K48" si="12">IF(H48+I48&lt;&gt;0,IF(H48&lt;&gt;0,IF(J48&lt;&gt;0,ROUND((+J48/H48),4),""),1),"")</f>
        <v/>
      </c>
      <c r="L48" s="25"/>
      <c r="M48" s="25"/>
      <c r="N48" s="29"/>
      <c r="O48" s="29"/>
      <c r="P48" s="29"/>
    </row>
    <row r="49" spans="1:16" x14ac:dyDescent="0.2">
      <c r="A49" s="4"/>
      <c r="B49" s="4"/>
      <c r="C49" s="25"/>
      <c r="D49" s="25"/>
      <c r="E49" s="25"/>
      <c r="F49" s="25"/>
      <c r="G49" s="25"/>
      <c r="H49" s="25"/>
      <c r="I49" s="25"/>
      <c r="J49" s="25"/>
      <c r="K49" s="29"/>
      <c r="L49" s="25"/>
      <c r="M49" s="25"/>
      <c r="N49" s="29"/>
      <c r="O49" s="29"/>
      <c r="P49" s="29"/>
    </row>
    <row r="50" spans="1:16" x14ac:dyDescent="0.2">
      <c r="A50" s="4"/>
      <c r="B50" s="4"/>
      <c r="C50" s="25"/>
      <c r="D50" s="25"/>
      <c r="E50" s="25"/>
      <c r="F50" s="25"/>
      <c r="G50" s="25"/>
      <c r="H50" s="25"/>
      <c r="I50" s="25"/>
      <c r="J50" s="25"/>
      <c r="K50" s="4"/>
      <c r="L50" s="25"/>
      <c r="M50" s="25"/>
      <c r="N50" s="4"/>
      <c r="O50" s="4"/>
      <c r="P50" s="4"/>
    </row>
    <row r="51" spans="1:16" x14ac:dyDescent="0.2">
      <c r="A51" s="4"/>
      <c r="B51" s="4"/>
      <c r="C51" s="25"/>
      <c r="D51" s="25"/>
      <c r="E51" s="25"/>
      <c r="F51" s="25"/>
      <c r="G51" s="25"/>
      <c r="H51" s="25"/>
      <c r="I51" s="25"/>
      <c r="J51" s="25"/>
      <c r="K51" s="4"/>
      <c r="L51" s="25"/>
      <c r="M51" s="25"/>
      <c r="N51" s="4"/>
      <c r="O51" s="4"/>
      <c r="P51" s="4"/>
    </row>
    <row r="52" spans="1:16" x14ac:dyDescent="0.2">
      <c r="A52" s="4"/>
      <c r="B52" s="4"/>
      <c r="C52" s="25"/>
      <c r="D52" s="25"/>
      <c r="E52" s="25"/>
      <c r="F52" s="25"/>
      <c r="G52" s="25"/>
      <c r="H52" s="25"/>
      <c r="I52" s="25"/>
      <c r="J52" s="25"/>
      <c r="K52" s="4"/>
      <c r="L52" s="25"/>
      <c r="M52" s="25"/>
      <c r="N52" s="4"/>
      <c r="O52" s="4"/>
      <c r="P52" s="4"/>
    </row>
    <row r="53" spans="1:16" x14ac:dyDescent="0.2">
      <c r="A53" s="4"/>
      <c r="B53" s="4"/>
      <c r="C53" s="25"/>
      <c r="D53" s="25"/>
      <c r="E53" s="25"/>
      <c r="F53" s="25"/>
      <c r="G53" s="25"/>
      <c r="H53" s="25"/>
      <c r="I53" s="25"/>
      <c r="J53" s="25"/>
      <c r="K53" s="4"/>
      <c r="L53" s="25"/>
      <c r="M53" s="25"/>
      <c r="N53" s="4"/>
      <c r="O53" s="4"/>
      <c r="P53" s="4"/>
    </row>
    <row r="54" spans="1:16" x14ac:dyDescent="0.2">
      <c r="A54" s="4"/>
      <c r="B54" s="4"/>
      <c r="C54" s="25"/>
      <c r="D54" s="25"/>
      <c r="E54" s="25"/>
      <c r="F54" s="25"/>
      <c r="G54" s="25"/>
      <c r="H54" s="25"/>
      <c r="I54" s="25"/>
      <c r="J54" s="25"/>
      <c r="K54" s="4"/>
      <c r="L54" s="25"/>
      <c r="M54" s="25"/>
      <c r="N54" s="4"/>
      <c r="O54" s="4"/>
      <c r="P54" s="4"/>
    </row>
    <row r="55" spans="1:16" x14ac:dyDescent="0.2">
      <c r="A55" s="4"/>
      <c r="B55" s="4"/>
      <c r="C55" s="25"/>
      <c r="D55" s="25"/>
      <c r="E55" s="25"/>
      <c r="F55" s="25"/>
      <c r="G55" s="25"/>
      <c r="H55" s="25"/>
      <c r="I55" s="25"/>
      <c r="J55" s="25"/>
      <c r="K55" s="4"/>
      <c r="L55" s="25"/>
      <c r="M55" s="25"/>
      <c r="N55" s="4"/>
      <c r="O55" s="4"/>
      <c r="P55" s="4"/>
    </row>
    <row r="56" spans="1:16" x14ac:dyDescent="0.2">
      <c r="A56" s="4"/>
      <c r="B56" s="4"/>
      <c r="C56" s="25"/>
      <c r="D56" s="25"/>
      <c r="E56" s="25"/>
      <c r="F56" s="25"/>
      <c r="G56" s="25"/>
      <c r="H56" s="25"/>
      <c r="I56" s="25"/>
      <c r="J56" s="25"/>
      <c r="K56" s="4"/>
      <c r="L56" s="25"/>
      <c r="M56" s="25"/>
      <c r="N56" s="4"/>
      <c r="O56" s="4"/>
      <c r="P56" s="4"/>
    </row>
    <row r="57" spans="1:16" x14ac:dyDescent="0.2">
      <c r="A57" s="4"/>
      <c r="B57" s="4"/>
      <c r="C57" s="25"/>
      <c r="D57" s="25"/>
      <c r="E57" s="25"/>
      <c r="F57" s="25"/>
      <c r="G57" s="25"/>
      <c r="H57" s="25"/>
      <c r="I57" s="25"/>
      <c r="J57" s="25"/>
      <c r="K57" s="4"/>
      <c r="L57" s="25"/>
      <c r="M57" s="25"/>
      <c r="N57" s="4"/>
      <c r="O57" s="4"/>
      <c r="P57" s="4"/>
    </row>
    <row r="58" spans="1:16" x14ac:dyDescent="0.2">
      <c r="A58" s="4"/>
      <c r="B58" s="4"/>
      <c r="C58" s="25"/>
      <c r="D58" s="25"/>
      <c r="E58" s="25"/>
      <c r="F58" s="25"/>
      <c r="G58" s="25"/>
      <c r="H58" s="25"/>
      <c r="I58" s="25"/>
      <c r="J58" s="25"/>
      <c r="K58" s="4"/>
      <c r="L58" s="25"/>
      <c r="M58" s="25"/>
      <c r="N58" s="4"/>
      <c r="O58" s="4"/>
      <c r="P58" s="4"/>
    </row>
    <row r="59" spans="1:16" x14ac:dyDescent="0.2">
      <c r="A59" s="4"/>
      <c r="B59" s="4"/>
      <c r="C59" s="25"/>
      <c r="D59" s="25"/>
      <c r="E59" s="25"/>
      <c r="F59" s="25"/>
      <c r="G59" s="25"/>
      <c r="H59" s="25"/>
      <c r="I59" s="25"/>
      <c r="J59" s="25"/>
      <c r="K59" s="4"/>
      <c r="L59" s="25"/>
      <c r="M59" s="25"/>
      <c r="N59" s="4"/>
      <c r="O59" s="4"/>
      <c r="P59" s="4"/>
    </row>
    <row r="60" spans="1:16" x14ac:dyDescent="0.2">
      <c r="A60" s="4"/>
      <c r="B60" s="4"/>
      <c r="C60" s="25"/>
      <c r="D60" s="25"/>
      <c r="E60" s="25"/>
      <c r="F60" s="25"/>
      <c r="G60" s="25"/>
      <c r="H60" s="25"/>
      <c r="I60" s="25"/>
      <c r="J60" s="25"/>
      <c r="K60" s="4"/>
      <c r="L60" s="25"/>
      <c r="M60" s="25"/>
      <c r="N60" s="4"/>
      <c r="O60" s="4"/>
      <c r="P60" s="4"/>
    </row>
    <row r="61" spans="1:16" x14ac:dyDescent="0.2">
      <c r="A61" s="4"/>
      <c r="B61" s="4"/>
      <c r="C61" s="25"/>
      <c r="D61" s="25"/>
      <c r="E61" s="25"/>
      <c r="F61" s="25"/>
      <c r="G61" s="25"/>
      <c r="H61" s="25"/>
      <c r="I61" s="25"/>
      <c r="J61" s="25"/>
      <c r="K61" s="4"/>
      <c r="L61" s="25"/>
      <c r="M61" s="25"/>
      <c r="N61" s="4"/>
      <c r="O61" s="4"/>
      <c r="P61" s="4"/>
    </row>
    <row r="62" spans="1:16" x14ac:dyDescent="0.2">
      <c r="A62" s="4"/>
      <c r="B62" s="4"/>
      <c r="C62" s="25"/>
      <c r="D62" s="25"/>
      <c r="E62" s="25"/>
      <c r="F62" s="25"/>
      <c r="G62" s="25"/>
      <c r="H62" s="25"/>
      <c r="I62" s="25"/>
      <c r="J62" s="25"/>
      <c r="K62" s="4"/>
      <c r="L62" s="25"/>
      <c r="M62" s="25"/>
      <c r="N62" s="4"/>
      <c r="O62" s="4"/>
      <c r="P62" s="4"/>
    </row>
    <row r="63" spans="1:16" x14ac:dyDescent="0.2">
      <c r="A63" s="4"/>
      <c r="B63" s="4"/>
      <c r="C63" s="25"/>
      <c r="D63" s="25"/>
      <c r="E63" s="25"/>
      <c r="F63" s="25"/>
      <c r="G63" s="25"/>
      <c r="H63" s="25"/>
      <c r="I63" s="25"/>
      <c r="J63" s="25"/>
      <c r="K63" s="4"/>
      <c r="L63" s="25"/>
      <c r="M63" s="25"/>
      <c r="N63" s="4"/>
      <c r="O63" s="4"/>
      <c r="P63" s="4"/>
    </row>
    <row r="64" spans="1:16" x14ac:dyDescent="0.2">
      <c r="A64" s="4"/>
      <c r="B64" s="4"/>
      <c r="C64" s="25"/>
      <c r="D64" s="25"/>
      <c r="E64" s="25"/>
      <c r="F64" s="25"/>
      <c r="G64" s="25"/>
      <c r="H64" s="25"/>
      <c r="I64" s="25"/>
      <c r="J64" s="25"/>
      <c r="K64" s="4"/>
      <c r="L64" s="25"/>
      <c r="M64" s="25"/>
      <c r="N64" s="4"/>
      <c r="O64" s="4"/>
      <c r="P64" s="4"/>
    </row>
    <row r="65" spans="1:16" x14ac:dyDescent="0.2">
      <c r="A65" s="4"/>
      <c r="B65" s="4"/>
      <c r="C65" s="25"/>
      <c r="D65" s="25"/>
      <c r="E65" s="25"/>
      <c r="F65" s="25"/>
      <c r="G65" s="25"/>
      <c r="H65" s="25"/>
      <c r="I65" s="25"/>
      <c r="J65" s="25"/>
      <c r="K65" s="4"/>
      <c r="L65" s="25"/>
      <c r="M65" s="25"/>
      <c r="N65" s="4"/>
      <c r="O65" s="4"/>
      <c r="P65" s="4"/>
    </row>
    <row r="66" spans="1:16" x14ac:dyDescent="0.2">
      <c r="A66" s="4"/>
      <c r="B66" s="4"/>
      <c r="C66" s="25"/>
      <c r="D66" s="25"/>
      <c r="E66" s="25"/>
      <c r="F66" s="25"/>
      <c r="G66" s="25"/>
      <c r="H66" s="25"/>
      <c r="I66" s="25"/>
      <c r="J66" s="25"/>
      <c r="K66" s="4"/>
      <c r="L66" s="25"/>
      <c r="M66" s="25"/>
      <c r="N66" s="4"/>
      <c r="O66" s="4"/>
      <c r="P66" s="4"/>
    </row>
    <row r="67" spans="1:16" x14ac:dyDescent="0.2">
      <c r="A67" s="4"/>
      <c r="B67" s="4"/>
      <c r="C67" s="25"/>
      <c r="D67" s="25"/>
      <c r="E67" s="25"/>
      <c r="F67" s="25"/>
      <c r="G67" s="25"/>
      <c r="H67" s="25"/>
      <c r="I67" s="25"/>
      <c r="J67" s="25"/>
      <c r="K67" s="4"/>
      <c r="L67" s="25"/>
      <c r="M67" s="25"/>
      <c r="N67" s="4"/>
      <c r="O67" s="4"/>
      <c r="P67" s="4"/>
    </row>
    <row r="68" spans="1:16" x14ac:dyDescent="0.2">
      <c r="A68" s="4"/>
      <c r="B68" s="4"/>
      <c r="C68" s="25"/>
      <c r="D68" s="25"/>
      <c r="E68" s="25"/>
      <c r="F68" s="25"/>
      <c r="G68" s="25"/>
      <c r="H68" s="25"/>
      <c r="I68" s="25"/>
      <c r="J68" s="25"/>
      <c r="K68" s="4"/>
      <c r="L68" s="25"/>
      <c r="M68" s="25"/>
      <c r="N68" s="4"/>
      <c r="O68" s="4"/>
      <c r="P68" s="4"/>
    </row>
    <row r="69" spans="1:16" x14ac:dyDescent="0.2">
      <c r="A69" s="4"/>
      <c r="B69" s="4"/>
      <c r="C69" s="25"/>
      <c r="D69" s="25"/>
      <c r="E69" s="25"/>
      <c r="F69" s="25"/>
      <c r="G69" s="25"/>
      <c r="H69" s="25"/>
      <c r="I69" s="25"/>
      <c r="J69" s="25"/>
      <c r="K69" s="4"/>
      <c r="L69" s="25"/>
      <c r="M69" s="25"/>
      <c r="N69" s="4"/>
      <c r="O69" s="4"/>
      <c r="P69" s="4"/>
    </row>
    <row r="70" spans="1:16" x14ac:dyDescent="0.2">
      <c r="A70" s="4"/>
      <c r="B70" s="4"/>
      <c r="C70" s="25"/>
      <c r="D70" s="25"/>
      <c r="E70" s="25"/>
      <c r="F70" s="25"/>
      <c r="G70" s="25"/>
      <c r="H70" s="25"/>
      <c r="I70" s="25"/>
      <c r="J70" s="25"/>
      <c r="K70" s="4"/>
      <c r="L70" s="25"/>
      <c r="M70" s="25"/>
      <c r="N70" s="4"/>
      <c r="O70" s="4"/>
      <c r="P70" s="4"/>
    </row>
    <row r="71" spans="1:16" x14ac:dyDescent="0.2">
      <c r="A71" s="4"/>
      <c r="B71" s="4"/>
      <c r="C71" s="25"/>
      <c r="D71" s="25"/>
      <c r="E71" s="25"/>
      <c r="F71" s="25"/>
      <c r="G71" s="25"/>
      <c r="H71" s="25"/>
      <c r="I71" s="25"/>
      <c r="J71" s="25"/>
      <c r="K71" s="4"/>
      <c r="L71" s="25"/>
      <c r="M71" s="25"/>
      <c r="N71" s="4"/>
      <c r="O71" s="4"/>
      <c r="P71" s="4"/>
    </row>
    <row r="72" spans="1:16" x14ac:dyDescent="0.2">
      <c r="A72" s="4"/>
      <c r="B72" s="4"/>
      <c r="C72" s="25"/>
      <c r="D72" s="25"/>
      <c r="E72" s="25"/>
      <c r="F72" s="25"/>
      <c r="G72" s="25"/>
      <c r="H72" s="25"/>
      <c r="I72" s="25"/>
      <c r="J72" s="25"/>
      <c r="K72" s="4"/>
      <c r="L72" s="25"/>
      <c r="M72" s="25"/>
      <c r="N72" s="4"/>
      <c r="O72" s="4"/>
      <c r="P72" s="4"/>
    </row>
    <row r="73" spans="1:16" x14ac:dyDescent="0.2">
      <c r="A73" s="4"/>
      <c r="B73" s="4"/>
      <c r="C73" s="25"/>
      <c r="D73" s="25"/>
      <c r="E73" s="25"/>
      <c r="F73" s="25"/>
      <c r="G73" s="25"/>
      <c r="H73" s="25"/>
      <c r="I73" s="25"/>
      <c r="J73" s="25"/>
      <c r="K73" s="4"/>
      <c r="L73" s="25"/>
      <c r="M73" s="25"/>
      <c r="N73" s="4"/>
      <c r="O73" s="4"/>
      <c r="P73" s="4"/>
    </row>
    <row r="74" spans="1:16" x14ac:dyDescent="0.2">
      <c r="A74" s="4"/>
      <c r="B74" s="4"/>
      <c r="C74" s="25"/>
      <c r="D74" s="25"/>
      <c r="E74" s="25"/>
      <c r="F74" s="25"/>
      <c r="G74" s="25"/>
      <c r="H74" s="25"/>
      <c r="I74" s="25"/>
      <c r="J74" s="25"/>
      <c r="K74" s="4"/>
      <c r="L74" s="25"/>
      <c r="M74" s="25"/>
      <c r="N74" s="4"/>
      <c r="O74" s="4"/>
      <c r="P74" s="4"/>
    </row>
    <row r="75" spans="1:16" x14ac:dyDescent="0.2">
      <c r="A75" s="4"/>
      <c r="B75" s="4"/>
      <c r="C75" s="25"/>
      <c r="D75" s="25"/>
      <c r="E75" s="25"/>
      <c r="F75" s="25"/>
      <c r="G75" s="25"/>
      <c r="H75" s="25"/>
      <c r="I75" s="25"/>
      <c r="J75" s="25"/>
      <c r="K75" s="4"/>
      <c r="L75" s="25"/>
      <c r="M75" s="25"/>
      <c r="N75" s="4"/>
      <c r="O75" s="4"/>
      <c r="P75" s="4"/>
    </row>
    <row r="76" spans="1:16" x14ac:dyDescent="0.2">
      <c r="A76" s="4"/>
      <c r="B76" s="4"/>
      <c r="C76" s="25"/>
      <c r="D76" s="25"/>
      <c r="E76" s="25"/>
      <c r="F76" s="25"/>
      <c r="G76" s="25"/>
      <c r="H76" s="25"/>
      <c r="I76" s="25"/>
      <c r="J76" s="25"/>
      <c r="K76" s="4"/>
      <c r="L76" s="25"/>
      <c r="M76" s="25"/>
      <c r="N76" s="4"/>
      <c r="O76" s="4"/>
      <c r="P76" s="4"/>
    </row>
    <row r="77" spans="1:16" x14ac:dyDescent="0.2">
      <c r="A77" s="4"/>
      <c r="B77" s="4"/>
      <c r="C77" s="25"/>
      <c r="D77" s="25"/>
      <c r="E77" s="25"/>
      <c r="F77" s="25"/>
      <c r="G77" s="25"/>
      <c r="H77" s="25"/>
      <c r="I77" s="25"/>
      <c r="J77" s="25"/>
      <c r="K77" s="4"/>
      <c r="L77" s="25"/>
      <c r="M77" s="25"/>
      <c r="N77" s="4"/>
      <c r="O77" s="4"/>
      <c r="P77" s="4"/>
    </row>
    <row r="78" spans="1:16" x14ac:dyDescent="0.2">
      <c r="A78" s="4"/>
      <c r="B78" s="4"/>
      <c r="C78" s="25"/>
      <c r="D78" s="25"/>
      <c r="E78" s="25"/>
      <c r="F78" s="25"/>
      <c r="G78" s="25"/>
      <c r="H78" s="25"/>
      <c r="I78" s="25"/>
      <c r="J78" s="25"/>
      <c r="K78" s="4"/>
      <c r="L78" s="25"/>
      <c r="M78" s="25"/>
      <c r="N78" s="4"/>
      <c r="O78" s="4"/>
      <c r="P78" s="4"/>
    </row>
    <row r="79" spans="1:16" x14ac:dyDescent="0.2">
      <c r="A79" s="4"/>
      <c r="B79" s="4"/>
      <c r="C79" s="25"/>
      <c r="D79" s="25"/>
      <c r="E79" s="25"/>
      <c r="F79" s="25"/>
      <c r="G79" s="25"/>
      <c r="H79" s="25"/>
      <c r="I79" s="25"/>
      <c r="J79" s="25"/>
      <c r="K79" s="4"/>
      <c r="L79" s="25"/>
      <c r="M79" s="25"/>
      <c r="N79" s="4"/>
      <c r="O79" s="4"/>
      <c r="P79" s="4"/>
    </row>
    <row r="80" spans="1:16" x14ac:dyDescent="0.2">
      <c r="A80" s="4"/>
      <c r="B80" s="4"/>
      <c r="C80" s="25"/>
      <c r="D80" s="25"/>
      <c r="E80" s="25"/>
      <c r="F80" s="25"/>
      <c r="G80" s="25"/>
      <c r="H80" s="25"/>
      <c r="I80" s="25"/>
      <c r="J80" s="25"/>
      <c r="K80" s="4"/>
      <c r="L80" s="25"/>
      <c r="M80" s="25"/>
      <c r="N80" s="4"/>
      <c r="O80" s="4"/>
      <c r="P80" s="4"/>
    </row>
    <row r="81" spans="1:16" x14ac:dyDescent="0.2">
      <c r="A81" s="4"/>
      <c r="B81" s="4"/>
      <c r="C81" s="25"/>
      <c r="D81" s="25"/>
      <c r="E81" s="25"/>
      <c r="F81" s="25"/>
      <c r="G81" s="25"/>
      <c r="H81" s="25"/>
      <c r="I81" s="25"/>
      <c r="J81" s="25"/>
      <c r="K81" s="4"/>
      <c r="L81" s="25"/>
      <c r="M81" s="25"/>
      <c r="N81" s="4"/>
      <c r="O81" s="4"/>
      <c r="P81" s="4"/>
    </row>
    <row r="82" spans="1:16" x14ac:dyDescent="0.2">
      <c r="A82" s="4"/>
      <c r="B82" s="4"/>
      <c r="C82" s="25"/>
      <c r="D82" s="25"/>
      <c r="E82" s="25"/>
      <c r="F82" s="25"/>
      <c r="G82" s="25"/>
      <c r="H82" s="25"/>
      <c r="I82" s="25"/>
      <c r="J82" s="25"/>
      <c r="K82" s="4"/>
      <c r="L82" s="25"/>
      <c r="M82" s="25"/>
      <c r="N82" s="4"/>
      <c r="O82" s="4"/>
      <c r="P82" s="4"/>
    </row>
    <row r="83" spans="1:16" x14ac:dyDescent="0.2">
      <c r="A83" s="4"/>
      <c r="B83" s="4"/>
      <c r="C83" s="25"/>
      <c r="D83" s="25"/>
      <c r="E83" s="25"/>
      <c r="F83" s="25"/>
      <c r="G83" s="25"/>
      <c r="H83" s="25"/>
      <c r="I83" s="25"/>
      <c r="J83" s="25"/>
      <c r="K83" s="4"/>
      <c r="L83" s="25"/>
      <c r="M83" s="25"/>
      <c r="N83" s="4"/>
      <c r="O83" s="4"/>
      <c r="P83" s="4"/>
    </row>
    <row r="84" spans="1:16" x14ac:dyDescent="0.2">
      <c r="A84" s="4"/>
      <c r="B84" s="4"/>
      <c r="C84" s="25"/>
      <c r="D84" s="25"/>
      <c r="E84" s="25"/>
      <c r="F84" s="25"/>
      <c r="G84" s="25"/>
      <c r="H84" s="25"/>
      <c r="I84" s="25"/>
      <c r="J84" s="25"/>
      <c r="K84" s="4"/>
      <c r="L84" s="25"/>
      <c r="M84" s="25"/>
      <c r="N84" s="4"/>
      <c r="O84" s="4"/>
      <c r="P84" s="4"/>
    </row>
    <row r="85" spans="1:16" x14ac:dyDescent="0.2">
      <c r="A85" s="4"/>
      <c r="B85" s="4"/>
      <c r="C85" s="25"/>
      <c r="D85" s="25"/>
      <c r="E85" s="25"/>
      <c r="F85" s="25"/>
      <c r="G85" s="25"/>
      <c r="H85" s="25"/>
      <c r="I85" s="25"/>
      <c r="J85" s="25"/>
      <c r="K85" s="4"/>
      <c r="L85" s="25"/>
      <c r="M85" s="25"/>
      <c r="N85" s="4"/>
      <c r="O85" s="4"/>
      <c r="P85" s="4"/>
    </row>
    <row r="86" spans="1:16" x14ac:dyDescent="0.2">
      <c r="A86" s="4"/>
      <c r="B86" s="4"/>
      <c r="C86" s="25"/>
      <c r="D86" s="25"/>
      <c r="E86" s="25"/>
      <c r="F86" s="25"/>
      <c r="G86" s="25"/>
      <c r="H86" s="25"/>
      <c r="I86" s="25"/>
      <c r="J86" s="25"/>
      <c r="K86" s="4"/>
      <c r="L86" s="25"/>
      <c r="M86" s="25"/>
      <c r="N86" s="4"/>
      <c r="O86" s="4"/>
      <c r="P86" s="4"/>
    </row>
    <row r="87" spans="1:16" x14ac:dyDescent="0.2">
      <c r="A87" s="4"/>
      <c r="B87" s="4"/>
      <c r="C87" s="25"/>
      <c r="D87" s="25"/>
      <c r="E87" s="25"/>
      <c r="F87" s="25"/>
      <c r="G87" s="25"/>
      <c r="H87" s="25"/>
      <c r="I87" s="25"/>
      <c r="J87" s="25"/>
      <c r="K87" s="4"/>
      <c r="L87" s="25"/>
      <c r="M87" s="25"/>
      <c r="N87" s="4"/>
      <c r="O87" s="4"/>
      <c r="P87" s="4"/>
    </row>
    <row r="88" spans="1:16" x14ac:dyDescent="0.2">
      <c r="A88" s="4"/>
      <c r="B88" s="4"/>
      <c r="C88" s="25"/>
      <c r="D88" s="25"/>
      <c r="E88" s="25"/>
      <c r="F88" s="25"/>
      <c r="G88" s="25"/>
      <c r="H88" s="25"/>
      <c r="I88" s="25"/>
      <c r="J88" s="25"/>
      <c r="K88" s="4"/>
      <c r="L88" s="25"/>
      <c r="M88" s="25"/>
      <c r="N88" s="4"/>
      <c r="O88" s="4"/>
      <c r="P88" s="4"/>
    </row>
    <row r="89" spans="1:16" x14ac:dyDescent="0.2">
      <c r="A89" s="4"/>
      <c r="B89" s="4"/>
      <c r="C89" s="25"/>
      <c r="D89" s="25"/>
      <c r="E89" s="25"/>
      <c r="F89" s="25"/>
      <c r="G89" s="25"/>
      <c r="H89" s="25"/>
      <c r="I89" s="25"/>
      <c r="J89" s="25"/>
      <c r="K89" s="4"/>
      <c r="L89" s="25"/>
      <c r="M89" s="25"/>
      <c r="N89" s="4"/>
      <c r="O89" s="4"/>
      <c r="P89" s="4"/>
    </row>
    <row r="90" spans="1:16" x14ac:dyDescent="0.2">
      <c r="A90" s="4"/>
      <c r="B90" s="4"/>
      <c r="C90" s="25"/>
      <c r="D90" s="25"/>
      <c r="E90" s="25"/>
      <c r="F90" s="25"/>
      <c r="G90" s="25"/>
      <c r="H90" s="25"/>
      <c r="I90" s="25"/>
      <c r="J90" s="25"/>
      <c r="K90" s="4"/>
      <c r="L90" s="25"/>
      <c r="M90" s="25"/>
      <c r="N90" s="4"/>
      <c r="O90" s="4"/>
      <c r="P90" s="4"/>
    </row>
    <row r="91" spans="1:16" x14ac:dyDescent="0.2">
      <c r="A91" s="4"/>
      <c r="B91" s="4"/>
      <c r="C91" s="25"/>
      <c r="D91" s="25"/>
      <c r="E91" s="25"/>
      <c r="F91" s="25"/>
      <c r="G91" s="25"/>
      <c r="H91" s="25"/>
      <c r="I91" s="25"/>
      <c r="J91" s="25"/>
      <c r="K91" s="4"/>
      <c r="L91" s="25"/>
      <c r="M91" s="25"/>
      <c r="N91" s="4"/>
      <c r="O91" s="4"/>
      <c r="P91" s="4"/>
    </row>
    <row r="92" spans="1:16" x14ac:dyDescent="0.2">
      <c r="A92" s="4"/>
      <c r="B92" s="4"/>
      <c r="C92" s="25"/>
      <c r="D92" s="25"/>
      <c r="E92" s="25"/>
      <c r="F92" s="25"/>
      <c r="G92" s="25"/>
      <c r="H92" s="25"/>
      <c r="I92" s="25"/>
      <c r="J92" s="25"/>
      <c r="K92" s="4"/>
      <c r="L92" s="25"/>
      <c r="M92" s="25"/>
      <c r="N92" s="4"/>
      <c r="O92" s="4"/>
      <c r="P92" s="4"/>
    </row>
    <row r="93" spans="1:16" x14ac:dyDescent="0.2">
      <c r="A93" s="4"/>
      <c r="B93" s="4"/>
      <c r="C93" s="25"/>
      <c r="D93" s="25"/>
      <c r="E93" s="25"/>
      <c r="F93" s="25"/>
      <c r="G93" s="25"/>
      <c r="H93" s="25"/>
      <c r="I93" s="25"/>
      <c r="J93" s="25"/>
      <c r="K93" s="4"/>
      <c r="L93" s="25"/>
      <c r="M93" s="25"/>
      <c r="N93" s="4"/>
      <c r="O93" s="4"/>
      <c r="P93" s="4"/>
    </row>
    <row r="94" spans="1:16" x14ac:dyDescent="0.2">
      <c r="A94" s="4"/>
      <c r="B94" s="4"/>
      <c r="C94" s="25"/>
      <c r="D94" s="25"/>
      <c r="E94" s="25"/>
      <c r="F94" s="25"/>
      <c r="G94" s="25"/>
      <c r="H94" s="25"/>
      <c r="I94" s="25"/>
      <c r="J94" s="25"/>
      <c r="K94" s="4"/>
      <c r="L94" s="25"/>
      <c r="M94" s="25"/>
      <c r="N94" s="4"/>
      <c r="O94" s="4"/>
      <c r="P94" s="4"/>
    </row>
    <row r="95" spans="1:16" x14ac:dyDescent="0.2">
      <c r="A95" s="4"/>
      <c r="B95" s="4"/>
      <c r="C95" s="25"/>
      <c r="D95" s="25"/>
      <c r="E95" s="25"/>
      <c r="F95" s="25"/>
      <c r="G95" s="25"/>
      <c r="H95" s="25"/>
      <c r="I95" s="25"/>
      <c r="J95" s="25"/>
      <c r="K95" s="4"/>
      <c r="L95" s="25"/>
      <c r="M95" s="25"/>
      <c r="N95" s="4"/>
      <c r="O95" s="4"/>
      <c r="P95" s="4"/>
    </row>
    <row r="96" spans="1:16" x14ac:dyDescent="0.2">
      <c r="A96" s="4"/>
      <c r="B96" s="4"/>
      <c r="C96" s="25"/>
      <c r="D96" s="25"/>
      <c r="E96" s="25"/>
      <c r="F96" s="25"/>
      <c r="G96" s="25"/>
      <c r="H96" s="25"/>
      <c r="I96" s="25"/>
      <c r="J96" s="25"/>
      <c r="K96" s="4"/>
      <c r="L96" s="25"/>
      <c r="M96" s="25"/>
      <c r="N96" s="4"/>
      <c r="O96" s="4"/>
      <c r="P96" s="4"/>
    </row>
    <row r="97" spans="1:16" x14ac:dyDescent="0.2">
      <c r="A97" s="4"/>
      <c r="B97" s="4"/>
      <c r="C97" s="25"/>
      <c r="D97" s="25"/>
      <c r="E97" s="25"/>
      <c r="F97" s="25"/>
      <c r="G97" s="25"/>
      <c r="H97" s="25"/>
      <c r="I97" s="25"/>
      <c r="J97" s="25"/>
      <c r="K97" s="4"/>
      <c r="L97" s="25"/>
      <c r="M97" s="25"/>
      <c r="N97" s="4"/>
      <c r="O97" s="4"/>
      <c r="P97" s="4"/>
    </row>
    <row r="98" spans="1:16" x14ac:dyDescent="0.2">
      <c r="A98" s="4"/>
      <c r="B98" s="4"/>
      <c r="C98" s="25"/>
      <c r="D98" s="25"/>
      <c r="E98" s="25"/>
      <c r="F98" s="25"/>
      <c r="G98" s="25"/>
      <c r="H98" s="25"/>
      <c r="I98" s="25"/>
      <c r="J98" s="25"/>
      <c r="K98" s="4"/>
      <c r="L98" s="25"/>
      <c r="M98" s="25"/>
      <c r="N98" s="4"/>
      <c r="O98" s="4"/>
      <c r="P98" s="4"/>
    </row>
    <row r="99" spans="1:16" x14ac:dyDescent="0.2">
      <c r="A99" s="4"/>
      <c r="B99" s="4"/>
      <c r="C99" s="25"/>
      <c r="D99" s="25"/>
      <c r="E99" s="25"/>
      <c r="F99" s="25"/>
      <c r="G99" s="25"/>
      <c r="H99" s="25"/>
      <c r="I99" s="25"/>
      <c r="J99" s="25"/>
      <c r="K99" s="4"/>
      <c r="L99" s="25"/>
      <c r="M99" s="25"/>
      <c r="N99" s="4"/>
      <c r="O99" s="4"/>
      <c r="P99" s="4"/>
    </row>
    <row r="100" spans="1:16" x14ac:dyDescent="0.2">
      <c r="A100" s="4"/>
      <c r="B100" s="4"/>
      <c r="C100" s="25"/>
      <c r="D100" s="25"/>
      <c r="E100" s="25"/>
      <c r="F100" s="25"/>
      <c r="G100" s="25"/>
      <c r="H100" s="25"/>
      <c r="I100" s="25"/>
      <c r="J100" s="25"/>
      <c r="K100" s="4"/>
      <c r="L100" s="25"/>
      <c r="M100" s="25"/>
      <c r="N100" s="4"/>
      <c r="O100" s="4"/>
      <c r="P100" s="4"/>
    </row>
    <row r="101" spans="1:16" x14ac:dyDescent="0.2">
      <c r="A101" s="4"/>
      <c r="B101" s="4"/>
      <c r="C101" s="25"/>
      <c r="D101" s="25"/>
      <c r="E101" s="25"/>
      <c r="F101" s="25"/>
      <c r="G101" s="25"/>
      <c r="H101" s="25"/>
      <c r="I101" s="25"/>
      <c r="J101" s="25"/>
      <c r="K101" s="4"/>
      <c r="L101" s="25"/>
      <c r="M101" s="25"/>
      <c r="N101" s="4"/>
      <c r="O101" s="4"/>
      <c r="P101" s="4"/>
    </row>
    <row r="102" spans="1:16" x14ac:dyDescent="0.2">
      <c r="A102" s="4"/>
      <c r="B102" s="4"/>
      <c r="C102" s="25"/>
      <c r="D102" s="25"/>
      <c r="E102" s="25"/>
      <c r="F102" s="25"/>
      <c r="G102" s="25"/>
      <c r="H102" s="25"/>
      <c r="I102" s="25"/>
      <c r="J102" s="25"/>
      <c r="K102" s="4"/>
      <c r="L102" s="25"/>
      <c r="M102" s="25"/>
      <c r="N102" s="4"/>
      <c r="O102" s="4"/>
      <c r="P102" s="4"/>
    </row>
    <row r="103" spans="1:16" x14ac:dyDescent="0.2">
      <c r="A103" s="4"/>
      <c r="B103" s="4"/>
      <c r="C103" s="25"/>
      <c r="D103" s="25"/>
      <c r="E103" s="25"/>
      <c r="F103" s="25"/>
      <c r="G103" s="25"/>
      <c r="H103" s="25"/>
      <c r="I103" s="25"/>
      <c r="J103" s="25"/>
      <c r="K103" s="4"/>
      <c r="L103" s="25"/>
      <c r="M103" s="25"/>
      <c r="N103" s="4"/>
      <c r="O103" s="4"/>
      <c r="P103" s="4"/>
    </row>
    <row r="104" spans="1:16" x14ac:dyDescent="0.2">
      <c r="A104" s="4"/>
      <c r="B104" s="4"/>
      <c r="C104" s="25"/>
      <c r="D104" s="25"/>
      <c r="E104" s="25"/>
      <c r="F104" s="25"/>
      <c r="G104" s="25"/>
      <c r="H104" s="25"/>
      <c r="I104" s="25"/>
      <c r="J104" s="25"/>
      <c r="K104" s="4"/>
      <c r="L104" s="25"/>
      <c r="M104" s="25"/>
      <c r="N104" s="4"/>
      <c r="O104" s="4"/>
      <c r="P104" s="4"/>
    </row>
    <row r="105" spans="1:16" x14ac:dyDescent="0.2">
      <c r="A105" s="4"/>
      <c r="B105" s="4"/>
      <c r="C105" s="25"/>
      <c r="D105" s="25"/>
      <c r="E105" s="25"/>
      <c r="F105" s="25"/>
      <c r="G105" s="25"/>
      <c r="H105" s="25"/>
      <c r="I105" s="25"/>
      <c r="J105" s="25"/>
      <c r="K105" s="4"/>
      <c r="L105" s="25"/>
      <c r="M105" s="25"/>
      <c r="N105" s="4"/>
      <c r="O105" s="4"/>
      <c r="P105" s="4"/>
    </row>
    <row r="106" spans="1:16" x14ac:dyDescent="0.2">
      <c r="A106" s="4"/>
      <c r="B106" s="4"/>
      <c r="C106" s="25"/>
      <c r="D106" s="25"/>
      <c r="E106" s="25"/>
      <c r="F106" s="25"/>
      <c r="G106" s="25"/>
      <c r="H106" s="25"/>
      <c r="I106" s="25"/>
      <c r="J106" s="25"/>
      <c r="K106" s="4"/>
      <c r="L106" s="25"/>
      <c r="M106" s="25"/>
      <c r="N106" s="4"/>
      <c r="O106" s="4"/>
      <c r="P106" s="4"/>
    </row>
    <row r="107" spans="1:16" x14ac:dyDescent="0.2">
      <c r="A107" s="4"/>
      <c r="B107" s="4"/>
      <c r="C107" s="25"/>
      <c r="D107" s="25"/>
      <c r="E107" s="25"/>
      <c r="F107" s="25"/>
      <c r="G107" s="25"/>
      <c r="H107" s="25"/>
      <c r="I107" s="25"/>
      <c r="J107" s="25"/>
      <c r="K107" s="4"/>
      <c r="L107" s="25"/>
      <c r="M107" s="25"/>
      <c r="N107" s="4"/>
      <c r="O107" s="4"/>
      <c r="P107" s="4"/>
    </row>
    <row r="108" spans="1:16" x14ac:dyDescent="0.2">
      <c r="A108" s="4"/>
      <c r="B108" s="4"/>
      <c r="C108" s="25"/>
      <c r="D108" s="25"/>
      <c r="E108" s="25"/>
      <c r="F108" s="25"/>
      <c r="G108" s="25"/>
      <c r="H108" s="25"/>
      <c r="I108" s="25"/>
      <c r="J108" s="25"/>
      <c r="K108" s="4"/>
      <c r="L108" s="25"/>
      <c r="M108" s="25"/>
      <c r="N108" s="4"/>
      <c r="O108" s="4"/>
      <c r="P108" s="4"/>
    </row>
    <row r="109" spans="1:16" x14ac:dyDescent="0.2">
      <c r="A109" s="4"/>
      <c r="B109" s="4"/>
      <c r="C109" s="25"/>
      <c r="D109" s="25"/>
      <c r="E109" s="25"/>
      <c r="F109" s="25"/>
      <c r="G109" s="25"/>
      <c r="H109" s="25"/>
      <c r="I109" s="25"/>
      <c r="J109" s="25"/>
      <c r="K109" s="4"/>
      <c r="L109" s="25"/>
      <c r="M109" s="25"/>
      <c r="N109" s="4"/>
      <c r="O109" s="4"/>
      <c r="P109" s="4"/>
    </row>
    <row r="110" spans="1:16" x14ac:dyDescent="0.2">
      <c r="A110" s="4"/>
      <c r="B110" s="4"/>
      <c r="C110" s="25"/>
      <c r="D110" s="25"/>
      <c r="E110" s="25"/>
      <c r="F110" s="25"/>
      <c r="G110" s="25"/>
      <c r="H110" s="25"/>
      <c r="I110" s="25"/>
      <c r="J110" s="25"/>
      <c r="K110" s="4"/>
      <c r="L110" s="25"/>
      <c r="M110" s="25"/>
      <c r="N110" s="4"/>
      <c r="O110" s="4"/>
      <c r="P110" s="4"/>
    </row>
    <row r="111" spans="1:16" x14ac:dyDescent="0.2">
      <c r="A111" s="4"/>
      <c r="B111" s="4"/>
      <c r="C111" s="25"/>
      <c r="D111" s="25"/>
      <c r="E111" s="25"/>
      <c r="F111" s="25"/>
      <c r="G111" s="25"/>
      <c r="H111" s="25"/>
      <c r="I111" s="25"/>
      <c r="J111" s="25"/>
      <c r="K111" s="4"/>
      <c r="L111" s="25"/>
      <c r="M111" s="25"/>
      <c r="N111" s="4"/>
      <c r="O111" s="4"/>
      <c r="P111" s="4"/>
    </row>
    <row r="112" spans="1:16"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row r="128" spans="3:3"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2" orientation="landscape" horizontalDpi="300" verticalDpi="300" r:id="rId1"/>
  <headerFooter alignWithMargins="0">
    <oddFooter>&amp;L&amp;D     &amp;T&amp;C&amp;F&amp;R&amp;A</oddFooter>
  </headerFooter>
  <rowBreaks count="1" manualBreakCount="1">
    <brk id="29" max="11"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55"/>
  <sheetViews>
    <sheetView zoomScale="85" zoomScaleNormal="85" workbookViewId="0">
      <pane xSplit="5" ySplit="7" topLeftCell="H30" activePane="bottomRight" state="frozen"/>
      <selection activeCell="K15" sqref="K15"/>
      <selection pane="topRight" activeCell="K15" sqref="K15"/>
      <selection pane="bottomLeft" activeCell="K15" sqref="K15"/>
      <selection pane="bottomRight" activeCell="P55" sqref="P55"/>
    </sheetView>
  </sheetViews>
  <sheetFormatPr defaultRowHeight="12.75" x14ac:dyDescent="0.2"/>
  <cols>
    <col min="1" max="1" width="14.5" customWidth="1"/>
    <col min="2" max="2" width="36.6640625" customWidth="1"/>
    <col min="3" max="3" width="14.5" style="1" hidden="1" customWidth="1"/>
    <col min="4" max="7" width="14.5" style="121" hidden="1" customWidth="1"/>
    <col min="8" max="10" width="14.5" style="121" customWidth="1"/>
    <col min="11" max="11" width="14.5" customWidth="1"/>
    <col min="12" max="13" width="14.5" style="1" customWidth="1"/>
    <col min="14" max="14" width="14.5" customWidth="1"/>
    <col min="15" max="44" width="11.33203125" customWidth="1"/>
  </cols>
  <sheetData>
    <row r="1" spans="1:44" x14ac:dyDescent="0.2">
      <c r="A1" s="410" t="s">
        <v>1013</v>
      </c>
      <c r="B1" s="410" t="s">
        <v>1418</v>
      </c>
      <c r="M1"/>
    </row>
    <row r="2" spans="1:44" ht="15" x14ac:dyDescent="0.25">
      <c r="A2" s="49" t="s">
        <v>264</v>
      </c>
      <c r="B2" s="49"/>
      <c r="E2" s="153"/>
      <c r="H2" s="153" t="s">
        <v>252</v>
      </c>
      <c r="I2" s="153"/>
      <c r="J2" s="153"/>
      <c r="K2" s="67" t="s">
        <v>351</v>
      </c>
      <c r="M2" s="50" t="s">
        <v>504</v>
      </c>
    </row>
    <row r="3" spans="1:44" ht="13.5" thickBot="1" x14ac:dyDescent="0.25">
      <c r="A3" s="4"/>
      <c r="B3" s="4"/>
      <c r="C3" s="25"/>
      <c r="D3" s="25"/>
      <c r="E3" s="25"/>
      <c r="F3" s="25"/>
      <c r="G3" s="25"/>
      <c r="H3" s="25"/>
      <c r="I3" s="25"/>
      <c r="J3" s="25"/>
      <c r="K3" s="4"/>
      <c r="L3" s="25"/>
      <c r="M3" s="4"/>
    </row>
    <row r="4" spans="1:44"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x14ac:dyDescent="0.2">
      <c r="A5" s="93"/>
      <c r="B5" s="216"/>
      <c r="C5" s="137"/>
      <c r="D5" s="94"/>
      <c r="E5" s="120"/>
      <c r="F5" s="94"/>
      <c r="G5" s="94"/>
      <c r="H5" s="120"/>
      <c r="I5" s="318"/>
      <c r="J5" s="318"/>
      <c r="K5" s="120" t="s">
        <v>509</v>
      </c>
      <c r="L5" s="95" t="s">
        <v>7</v>
      </c>
      <c r="M5" s="209" t="s">
        <v>783</v>
      </c>
      <c r="O5" s="51" t="s">
        <v>900</v>
      </c>
      <c r="P5" s="51" t="s">
        <v>901</v>
      </c>
      <c r="Q5" s="51" t="s">
        <v>902</v>
      </c>
      <c r="R5" s="51" t="s">
        <v>903</v>
      </c>
      <c r="S5" s="51" t="s">
        <v>904</v>
      </c>
      <c r="T5" s="51" t="s">
        <v>905</v>
      </c>
      <c r="U5" s="51" t="s">
        <v>906</v>
      </c>
      <c r="V5" s="51" t="s">
        <v>907</v>
      </c>
      <c r="W5" s="51" t="s">
        <v>908</v>
      </c>
      <c r="X5" s="51" t="s">
        <v>909</v>
      </c>
      <c r="Y5" s="51" t="s">
        <v>910</v>
      </c>
      <c r="Z5" s="51" t="s">
        <v>911</v>
      </c>
      <c r="AA5" s="51" t="s">
        <v>912</v>
      </c>
      <c r="AB5" s="51" t="s">
        <v>913</v>
      </c>
      <c r="AC5" s="51" t="s">
        <v>914</v>
      </c>
      <c r="AD5" s="51" t="s">
        <v>915</v>
      </c>
      <c r="AE5" s="51" t="s">
        <v>916</v>
      </c>
      <c r="AF5" s="51" t="s">
        <v>917</v>
      </c>
      <c r="AG5" s="51" t="s">
        <v>918</v>
      </c>
      <c r="AH5" s="51" t="s">
        <v>919</v>
      </c>
      <c r="AI5" s="51" t="s">
        <v>920</v>
      </c>
      <c r="AJ5" s="51" t="s">
        <v>921</v>
      </c>
      <c r="AK5" s="51" t="s">
        <v>922</v>
      </c>
      <c r="AL5" s="51" t="s">
        <v>923</v>
      </c>
      <c r="AM5" s="51" t="s">
        <v>924</v>
      </c>
      <c r="AN5" s="51" t="s">
        <v>925</v>
      </c>
      <c r="AO5" s="51" t="s">
        <v>926</v>
      </c>
      <c r="AP5" s="51" t="s">
        <v>927</v>
      </c>
      <c r="AQ5" s="51" t="s">
        <v>928</v>
      </c>
      <c r="AR5" s="51" t="s">
        <v>929</v>
      </c>
    </row>
    <row r="6" spans="1:44" x14ac:dyDescent="0.2">
      <c r="A6" s="93"/>
      <c r="B6" s="216"/>
      <c r="C6" s="137"/>
      <c r="D6" s="137"/>
      <c r="E6" s="137"/>
      <c r="F6" s="137"/>
      <c r="G6" s="137"/>
      <c r="H6" s="137"/>
      <c r="I6" s="95"/>
      <c r="J6" s="95"/>
      <c r="K6" s="137"/>
      <c r="L6" s="95" t="s">
        <v>8</v>
      </c>
      <c r="M6" s="51" t="s">
        <v>537</v>
      </c>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row>
    <row r="7" spans="1:44"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row>
    <row r="8" spans="1:44" ht="14.25" thickTop="1" thickBot="1" x14ac:dyDescent="0.25">
      <c r="A8" s="30"/>
      <c r="B8" s="106" t="s">
        <v>223</v>
      </c>
      <c r="C8" s="142"/>
      <c r="D8" s="19"/>
      <c r="E8" s="19"/>
      <c r="F8" s="19"/>
      <c r="G8" s="19"/>
      <c r="H8" s="19"/>
      <c r="I8" s="20"/>
      <c r="J8" s="20"/>
      <c r="K8" s="19"/>
      <c r="L8" s="20"/>
      <c r="M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row>
    <row r="9" spans="1:44" x14ac:dyDescent="0.2">
      <c r="A9" s="12" t="s">
        <v>511</v>
      </c>
      <c r="B9" s="69" t="s">
        <v>519</v>
      </c>
      <c r="C9" s="263">
        <v>30000</v>
      </c>
      <c r="D9" s="244">
        <v>30000</v>
      </c>
      <c r="E9" s="244">
        <v>30000</v>
      </c>
      <c r="F9" s="244">
        <v>30000</v>
      </c>
      <c r="G9" s="244">
        <v>30000</v>
      </c>
      <c r="H9" s="244">
        <v>30000</v>
      </c>
      <c r="I9" s="244">
        <v>30000</v>
      </c>
      <c r="J9" s="135">
        <v>30000</v>
      </c>
      <c r="K9" s="39"/>
      <c r="L9" s="135">
        <f>+O9</f>
        <v>25000</v>
      </c>
      <c r="M9" s="40"/>
      <c r="O9" s="40">
        <v>25000</v>
      </c>
      <c r="P9" s="40">
        <v>25000</v>
      </c>
      <c r="Q9" s="40">
        <v>25000</v>
      </c>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x14ac:dyDescent="0.2">
      <c r="A10" s="12" t="s">
        <v>515</v>
      </c>
      <c r="B10" s="69" t="s">
        <v>520</v>
      </c>
      <c r="C10" s="263">
        <v>5000</v>
      </c>
      <c r="D10" s="244">
        <v>5000</v>
      </c>
      <c r="E10" s="244">
        <v>5000</v>
      </c>
      <c r="F10" s="244">
        <v>5000</v>
      </c>
      <c r="G10" s="244">
        <v>5000</v>
      </c>
      <c r="H10" s="244">
        <v>5000</v>
      </c>
      <c r="I10" s="244">
        <v>5000</v>
      </c>
      <c r="J10" s="135">
        <v>5000</v>
      </c>
      <c r="K10" s="39"/>
      <c r="L10" s="135">
        <f>+O10</f>
        <v>5000</v>
      </c>
      <c r="M10" s="40"/>
      <c r="O10" s="135">
        <v>5000</v>
      </c>
      <c r="P10" s="135">
        <v>5000</v>
      </c>
      <c r="Q10" s="135"/>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row>
    <row r="11" spans="1:44" x14ac:dyDescent="0.2">
      <c r="A11" s="12" t="s">
        <v>510</v>
      </c>
      <c r="B11" s="69" t="s">
        <v>43</v>
      </c>
      <c r="C11" s="263">
        <v>14298.8</v>
      </c>
      <c r="D11" s="244">
        <v>14862.59</v>
      </c>
      <c r="E11" s="244">
        <v>15466.36</v>
      </c>
      <c r="F11" s="244">
        <v>14862.59</v>
      </c>
      <c r="G11" s="244">
        <v>14862.59</v>
      </c>
      <c r="H11" s="244">
        <v>5166.82</v>
      </c>
      <c r="I11" s="244">
        <v>0</v>
      </c>
      <c r="J11" s="135"/>
      <c r="K11" s="39"/>
      <c r="L11" s="135">
        <f t="shared" ref="L11:L27" si="0">+O11</f>
        <v>0</v>
      </c>
      <c r="M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x14ac:dyDescent="0.2">
      <c r="A12" s="12" t="s">
        <v>395</v>
      </c>
      <c r="B12" s="69" t="s">
        <v>389</v>
      </c>
      <c r="C12" s="263">
        <v>25000</v>
      </c>
      <c r="D12" s="244">
        <f>15000+5000</f>
        <v>20000</v>
      </c>
      <c r="E12" s="244">
        <v>15000</v>
      </c>
      <c r="F12" s="244">
        <v>15000</v>
      </c>
      <c r="G12" s="244">
        <v>15000</v>
      </c>
      <c r="H12" s="244">
        <v>15000</v>
      </c>
      <c r="I12" s="244">
        <f>10000+5000</f>
        <v>15000</v>
      </c>
      <c r="J12" s="135">
        <v>15000</v>
      </c>
      <c r="K12" s="39">
        <v>15000</v>
      </c>
      <c r="L12" s="135">
        <f t="shared" si="0"/>
        <v>15000</v>
      </c>
      <c r="M12" s="40"/>
      <c r="O12" s="40">
        <v>15000</v>
      </c>
      <c r="P12" s="40">
        <v>10000</v>
      </c>
      <c r="Q12" s="40">
        <v>10000</v>
      </c>
      <c r="R12" s="40">
        <v>10000</v>
      </c>
      <c r="S12" s="40">
        <v>10000</v>
      </c>
      <c r="T12" s="40">
        <v>10000</v>
      </c>
      <c r="U12" s="40">
        <v>10000</v>
      </c>
      <c r="V12" s="40"/>
      <c r="W12" s="40"/>
      <c r="X12" s="40"/>
      <c r="Y12" s="40"/>
      <c r="Z12" s="40"/>
      <c r="AA12" s="40"/>
      <c r="AB12" s="40"/>
      <c r="AC12" s="40"/>
      <c r="AD12" s="40"/>
      <c r="AE12" s="40"/>
      <c r="AF12" s="40"/>
      <c r="AG12" s="40"/>
      <c r="AH12" s="40"/>
      <c r="AI12" s="40"/>
      <c r="AJ12" s="40"/>
      <c r="AK12" s="40"/>
      <c r="AL12" s="40"/>
      <c r="AM12" s="40"/>
      <c r="AN12" s="40"/>
      <c r="AO12" s="40"/>
      <c r="AP12" s="40"/>
      <c r="AQ12" s="40"/>
      <c r="AR12" s="40"/>
    </row>
    <row r="13" spans="1:44" x14ac:dyDescent="0.2">
      <c r="A13" s="12" t="s">
        <v>582</v>
      </c>
      <c r="B13" s="69" t="s">
        <v>36</v>
      </c>
      <c r="C13" s="263">
        <v>26122.2</v>
      </c>
      <c r="D13" s="244">
        <v>26649.599999999999</v>
      </c>
      <c r="E13" s="244">
        <v>27187.8</v>
      </c>
      <c r="F13" s="244">
        <v>27737.4</v>
      </c>
      <c r="G13" s="244">
        <v>28297.8</v>
      </c>
      <c r="H13" s="244">
        <v>28869</v>
      </c>
      <c r="I13" s="244">
        <v>29452.2</v>
      </c>
      <c r="J13" s="135">
        <v>30047</v>
      </c>
      <c r="K13" s="244">
        <v>30047.4</v>
      </c>
      <c r="L13" s="135">
        <f t="shared" si="0"/>
        <v>31141</v>
      </c>
      <c r="M13" s="40"/>
      <c r="O13" s="135">
        <f>+'Split Debt Service'!G35</f>
        <v>31141</v>
      </c>
      <c r="P13" s="135">
        <f>ROUND((+'Split Debt Service'!H35),0)</f>
        <v>31274</v>
      </c>
      <c r="Q13" s="135">
        <f>+'Split Debt Service'!I35</f>
        <v>31906</v>
      </c>
      <c r="R13" s="135">
        <f>+'Split Debt Service'!J35</f>
        <v>32550</v>
      </c>
      <c r="S13" s="135">
        <f>+'Split Debt Service'!K35</f>
        <v>33208</v>
      </c>
      <c r="T13" s="135">
        <f>+'Split Debt Service'!L35</f>
        <v>33878</v>
      </c>
      <c r="U13" s="135">
        <f>+'Split Debt Service'!M35</f>
        <v>34563</v>
      </c>
      <c r="V13" s="135">
        <f>+'Split Debt Service'!N35</f>
        <v>0</v>
      </c>
      <c r="W13" s="135">
        <f>+'Split Debt Service'!O35</f>
        <v>0</v>
      </c>
      <c r="X13" s="135">
        <f>+'Split Debt Service'!P35</f>
        <v>0</v>
      </c>
      <c r="Y13" s="135">
        <f>+'Split Debt Service'!Q35</f>
        <v>0</v>
      </c>
      <c r="Z13" s="135">
        <f>+'Split Debt Service'!R35</f>
        <v>0</v>
      </c>
      <c r="AA13" s="135">
        <f>+'Split Debt Service'!S35</f>
        <v>0</v>
      </c>
      <c r="AB13" s="135">
        <f>+'Split Debt Service'!T35</f>
        <v>0</v>
      </c>
      <c r="AC13" s="135">
        <f>+'Split Debt Service'!U35</f>
        <v>0</v>
      </c>
      <c r="AD13" s="135">
        <f>+'Split Debt Service'!V35</f>
        <v>0</v>
      </c>
      <c r="AE13" s="135">
        <f>+'Split Debt Service'!W35</f>
        <v>0</v>
      </c>
      <c r="AF13" s="135">
        <f>+'Split Debt Service'!X35</f>
        <v>0</v>
      </c>
      <c r="AG13" s="135">
        <f>+'Split Debt Service'!Y35</f>
        <v>0</v>
      </c>
      <c r="AH13" s="135">
        <f>+'Split Debt Service'!Z35</f>
        <v>0</v>
      </c>
      <c r="AI13" s="135">
        <f>+'Split Debt Service'!AA35</f>
        <v>0</v>
      </c>
      <c r="AJ13" s="135">
        <f>+'Split Debt Service'!AB35</f>
        <v>0</v>
      </c>
      <c r="AK13" s="135">
        <f>+'Split Debt Service'!AC35</f>
        <v>0</v>
      </c>
      <c r="AL13" s="135">
        <f>+'Split Debt Service'!AD35</f>
        <v>0</v>
      </c>
      <c r="AM13" s="135">
        <f>+'Split Debt Service'!AE35</f>
        <v>0</v>
      </c>
      <c r="AN13" s="135">
        <f>+'Split Debt Service'!AF35</f>
        <v>0</v>
      </c>
      <c r="AO13" s="135">
        <f>+'Split Debt Service'!AG35</f>
        <v>0</v>
      </c>
      <c r="AP13" s="135">
        <f>+'Split Debt Service'!AH35</f>
        <v>0</v>
      </c>
      <c r="AQ13" s="135">
        <f>+'Split Debt Service'!AI35</f>
        <v>0</v>
      </c>
      <c r="AR13" s="135">
        <f>+'Split Debt Service'!AJ35</f>
        <v>0</v>
      </c>
    </row>
    <row r="14" spans="1:44" x14ac:dyDescent="0.2">
      <c r="A14" s="12" t="s">
        <v>583</v>
      </c>
      <c r="B14" s="69" t="s">
        <v>37</v>
      </c>
      <c r="C14" s="263">
        <v>29077.200000000001</v>
      </c>
      <c r="D14" s="244">
        <v>29787.599999999999</v>
      </c>
      <c r="E14" s="244">
        <v>30515.4</v>
      </c>
      <c r="F14" s="244">
        <v>31261.200000000001</v>
      </c>
      <c r="G14" s="244">
        <v>32025</v>
      </c>
      <c r="H14" s="244">
        <v>32807.4</v>
      </c>
      <c r="I14" s="244">
        <v>33609.599999999999</v>
      </c>
      <c r="J14" s="135">
        <v>34430</v>
      </c>
      <c r="K14" s="244">
        <v>34430.400000000001</v>
      </c>
      <c r="L14" s="135">
        <f t="shared" si="0"/>
        <v>35272</v>
      </c>
      <c r="M14" s="40"/>
      <c r="O14" s="135">
        <f>+'Split Debt Service'!G36</f>
        <v>35272</v>
      </c>
      <c r="P14" s="135">
        <f>ROUND((+'Split Debt Service'!H36),0)</f>
        <v>36134</v>
      </c>
      <c r="Q14" s="135">
        <f>+'Split Debt Service'!I36</f>
        <v>37016</v>
      </c>
      <c r="R14" s="135">
        <f>+'Split Debt Service'!J36</f>
        <v>37921</v>
      </c>
      <c r="S14" s="135">
        <f>+'Split Debt Service'!K36</f>
        <v>38848</v>
      </c>
      <c r="T14" s="135">
        <f>+'Split Debt Service'!L36</f>
        <v>39797</v>
      </c>
      <c r="U14" s="135">
        <f>+'Split Debt Service'!M36</f>
        <v>40769</v>
      </c>
      <c r="V14" s="135">
        <f>+'Split Debt Service'!N36</f>
        <v>41765</v>
      </c>
      <c r="W14" s="135">
        <f>+'Split Debt Service'!O36</f>
        <v>42786</v>
      </c>
      <c r="X14" s="135">
        <f>+'Split Debt Service'!P36</f>
        <v>43832</v>
      </c>
      <c r="Y14" s="135">
        <f>+'Split Debt Service'!Q36</f>
        <v>44903</v>
      </c>
      <c r="Z14" s="135">
        <f>+'Split Debt Service'!R36</f>
        <v>46000</v>
      </c>
      <c r="AA14" s="135">
        <f>+'Split Debt Service'!S36</f>
        <v>47124</v>
      </c>
      <c r="AB14" s="135">
        <f>+'Split Debt Service'!T36</f>
        <v>48275</v>
      </c>
      <c r="AC14" s="135">
        <f>+'Split Debt Service'!U36</f>
        <v>49455</v>
      </c>
      <c r="AD14" s="135">
        <f>+'Split Debt Service'!V36</f>
        <v>50663</v>
      </c>
      <c r="AE14" s="135">
        <f>+'Split Debt Service'!W36</f>
        <v>51901</v>
      </c>
      <c r="AF14" s="135">
        <f>+'Split Debt Service'!X36</f>
        <v>53170</v>
      </c>
      <c r="AG14" s="135">
        <f>+'Split Debt Service'!Y36</f>
        <v>0</v>
      </c>
      <c r="AH14" s="135">
        <f>+'Split Debt Service'!Z36</f>
        <v>0</v>
      </c>
      <c r="AI14" s="135">
        <f>+'Split Debt Service'!AA36</f>
        <v>0</v>
      </c>
      <c r="AJ14" s="135">
        <f>+'Split Debt Service'!AB36</f>
        <v>0</v>
      </c>
      <c r="AK14" s="135">
        <f>+'Split Debt Service'!AC36</f>
        <v>0</v>
      </c>
      <c r="AL14" s="135">
        <f>+'Split Debt Service'!AD36</f>
        <v>0</v>
      </c>
      <c r="AM14" s="135">
        <f>+'Split Debt Service'!AE36</f>
        <v>0</v>
      </c>
      <c r="AN14" s="135">
        <f>+'Split Debt Service'!AF36</f>
        <v>0</v>
      </c>
      <c r="AO14" s="135">
        <f>+'Split Debt Service'!AG36</f>
        <v>0</v>
      </c>
      <c r="AP14" s="135">
        <f>+'Split Debt Service'!AH36</f>
        <v>0</v>
      </c>
      <c r="AQ14" s="135">
        <f>+'Split Debt Service'!AI36</f>
        <v>0</v>
      </c>
      <c r="AR14" s="135">
        <f>+'Split Debt Service'!AJ36</f>
        <v>0</v>
      </c>
    </row>
    <row r="15" spans="1:44" x14ac:dyDescent="0.2">
      <c r="A15" s="12" t="s">
        <v>584</v>
      </c>
      <c r="B15" s="69" t="s">
        <v>38</v>
      </c>
      <c r="C15" s="263">
        <v>8143.77</v>
      </c>
      <c r="D15" s="244">
        <v>8143.77</v>
      </c>
      <c r="E15" s="244">
        <v>8500.06</v>
      </c>
      <c r="F15" s="244">
        <v>8871.94</v>
      </c>
      <c r="G15" s="244">
        <v>9260.08</v>
      </c>
      <c r="H15" s="244">
        <v>9665.2099999999991</v>
      </c>
      <c r="I15" s="244">
        <v>10088.06</v>
      </c>
      <c r="J15" s="135">
        <v>10530</v>
      </c>
      <c r="K15" s="244">
        <v>10529.42</v>
      </c>
      <c r="L15" s="135">
        <f t="shared" si="0"/>
        <v>12000</v>
      </c>
      <c r="M15" s="40"/>
      <c r="O15" s="135">
        <f>+'Split Debt Service'!G37</f>
        <v>12000</v>
      </c>
      <c r="P15" s="135">
        <f>ROUND((+'Split Debt Service'!H37),0)</f>
        <v>12000</v>
      </c>
      <c r="Q15" s="135">
        <f>+'Split Debt Service'!I37</f>
        <v>12000</v>
      </c>
      <c r="R15" s="135">
        <f>+'Split Debt Service'!J37</f>
        <v>15000</v>
      </c>
      <c r="S15" s="135">
        <f>+'Split Debt Service'!K37</f>
        <v>15000</v>
      </c>
      <c r="T15" s="135">
        <f>+'Split Debt Service'!L37</f>
        <v>15000</v>
      </c>
      <c r="U15" s="135">
        <f>+'Split Debt Service'!M37</f>
        <v>15000</v>
      </c>
      <c r="V15" s="135">
        <f>+'Split Debt Service'!N37</f>
        <v>18000</v>
      </c>
      <c r="W15" s="135">
        <f>+'Split Debt Service'!O37</f>
        <v>18000</v>
      </c>
      <c r="X15" s="135">
        <f>+'Split Debt Service'!P37</f>
        <v>18000</v>
      </c>
      <c r="Y15" s="135">
        <f>+'Split Debt Service'!Q37</f>
        <v>21000</v>
      </c>
      <c r="Z15" s="135">
        <f>+'Split Debt Service'!R37</f>
        <v>21000</v>
      </c>
      <c r="AA15" s="135">
        <f>+'Split Debt Service'!S37</f>
        <v>21000</v>
      </c>
      <c r="AB15" s="135">
        <f>+'Split Debt Service'!T37</f>
        <v>21000</v>
      </c>
      <c r="AC15" s="135">
        <f>+'Split Debt Service'!U37</f>
        <v>21000</v>
      </c>
      <c r="AD15" s="135">
        <f>+'Split Debt Service'!V37</f>
        <v>21000</v>
      </c>
      <c r="AE15" s="135">
        <f>+'Split Debt Service'!W37</f>
        <v>21000</v>
      </c>
      <c r="AF15" s="135">
        <f>+'Split Debt Service'!X37</f>
        <v>24000</v>
      </c>
      <c r="AG15" s="135">
        <f>+'Split Debt Service'!Y37</f>
        <v>24000</v>
      </c>
      <c r="AH15" s="135">
        <f>+'Split Debt Service'!Z37</f>
        <v>24000</v>
      </c>
      <c r="AI15" s="135">
        <f>+'Split Debt Service'!AA37</f>
        <v>24000</v>
      </c>
      <c r="AJ15" s="135">
        <f>+'Split Debt Service'!AB37</f>
        <v>24000</v>
      </c>
      <c r="AK15" s="135">
        <f>+'Split Debt Service'!AC37</f>
        <v>27000</v>
      </c>
      <c r="AL15" s="135">
        <f>+'Split Debt Service'!AD37</f>
        <v>27000</v>
      </c>
      <c r="AM15" s="135">
        <f>+'Split Debt Service'!AE37</f>
        <v>27000</v>
      </c>
      <c r="AN15" s="135">
        <f>+'Split Debt Service'!AF37</f>
        <v>0</v>
      </c>
      <c r="AO15" s="135">
        <f>+'Split Debt Service'!AG37</f>
        <v>0</v>
      </c>
      <c r="AP15" s="135">
        <f>+'Split Debt Service'!AH37</f>
        <v>0</v>
      </c>
      <c r="AQ15" s="135">
        <f>+'Split Debt Service'!AI37</f>
        <v>0</v>
      </c>
      <c r="AR15" s="135">
        <f>+'Split Debt Service'!AJ37</f>
        <v>0</v>
      </c>
    </row>
    <row r="16" spans="1:44" x14ac:dyDescent="0.2">
      <c r="A16" s="12" t="s">
        <v>585</v>
      </c>
      <c r="B16" s="69" t="s">
        <v>341</v>
      </c>
      <c r="C16" s="263">
        <v>7219.2</v>
      </c>
      <c r="D16" s="244">
        <v>7517</v>
      </c>
      <c r="E16" s="244">
        <v>7827.38</v>
      </c>
      <c r="F16" s="244">
        <v>8150.26</v>
      </c>
      <c r="G16" s="244">
        <v>8486.4599999999991</v>
      </c>
      <c r="H16" s="244">
        <v>8836.51</v>
      </c>
      <c r="I16" s="244">
        <v>9201.0300000000007</v>
      </c>
      <c r="J16" s="135">
        <v>9581</v>
      </c>
      <c r="K16" s="244">
        <v>9580.57</v>
      </c>
      <c r="L16" s="135">
        <f t="shared" si="0"/>
        <v>9976</v>
      </c>
      <c r="M16" s="40"/>
      <c r="O16" s="135">
        <f>+'Split Debt Service'!G38</f>
        <v>9976</v>
      </c>
      <c r="P16" s="135">
        <f>ROUND((+'Split Debt Service'!H38),0)</f>
        <v>10388</v>
      </c>
      <c r="Q16" s="135">
        <f>+'Split Debt Service'!I38</f>
        <v>10816</v>
      </c>
      <c r="R16" s="135">
        <f>+'Split Debt Service'!J38</f>
        <v>11262</v>
      </c>
      <c r="S16" s="135">
        <f>+'Split Debt Service'!K38</f>
        <v>11727</v>
      </c>
      <c r="T16" s="135">
        <f>+'Split Debt Service'!L38</f>
        <v>12211</v>
      </c>
      <c r="U16" s="135">
        <f>+'Split Debt Service'!M38</f>
        <v>12714</v>
      </c>
      <c r="V16" s="135">
        <f>+'Split Debt Service'!N38</f>
        <v>13238</v>
      </c>
      <c r="W16" s="135">
        <f>+'Split Debt Service'!O38</f>
        <v>13784</v>
      </c>
      <c r="X16" s="135">
        <f>+'Split Debt Service'!P38</f>
        <v>14353</v>
      </c>
      <c r="Y16" s="135">
        <f>+'Split Debt Service'!Q38</f>
        <v>14945</v>
      </c>
      <c r="Z16" s="135">
        <f>+'Split Debt Service'!R38</f>
        <v>15562</v>
      </c>
      <c r="AA16" s="135">
        <f>+'Split Debt Service'!S38</f>
        <v>16204</v>
      </c>
      <c r="AB16" s="135">
        <f>+'Split Debt Service'!T38</f>
        <v>16872</v>
      </c>
      <c r="AC16" s="135">
        <f>+'Split Debt Service'!U38</f>
        <v>17568</v>
      </c>
      <c r="AD16" s="135">
        <f>+'Split Debt Service'!V38</f>
        <v>18293</v>
      </c>
      <c r="AE16" s="135">
        <f>+'Split Debt Service'!W38</f>
        <v>19048</v>
      </c>
      <c r="AF16" s="135">
        <f>+'Split Debt Service'!X38</f>
        <v>19833</v>
      </c>
      <c r="AG16" s="135">
        <f>+'Split Debt Service'!Y38</f>
        <v>20651</v>
      </c>
      <c r="AH16" s="135">
        <f>+'Split Debt Service'!Z38</f>
        <v>21503</v>
      </c>
      <c r="AI16" s="135">
        <f>+'Split Debt Service'!AA38</f>
        <v>22390</v>
      </c>
      <c r="AJ16" s="135">
        <f>+'Split Debt Service'!AB38</f>
        <v>23314</v>
      </c>
      <c r="AK16" s="135">
        <f>+'Split Debt Service'!AC38</f>
        <v>24275</v>
      </c>
      <c r="AL16" s="135">
        <f>+'Split Debt Service'!AD38</f>
        <v>25277</v>
      </c>
      <c r="AM16" s="135">
        <f>+'Split Debt Service'!AE38</f>
        <v>26319</v>
      </c>
      <c r="AN16" s="135">
        <f>+'Split Debt Service'!AF38</f>
        <v>27405</v>
      </c>
      <c r="AO16" s="135">
        <f>+'Split Debt Service'!AG38</f>
        <v>28535</v>
      </c>
      <c r="AP16" s="135">
        <f>+'Split Debt Service'!AH38</f>
        <v>29528</v>
      </c>
      <c r="AQ16" s="135">
        <f>+'Split Debt Service'!AI38</f>
        <v>0</v>
      </c>
      <c r="AR16" s="135">
        <f>+'Split Debt Service'!AJ38</f>
        <v>0</v>
      </c>
    </row>
    <row r="17" spans="1:44" x14ac:dyDescent="0.2">
      <c r="A17" s="12" t="s">
        <v>586</v>
      </c>
      <c r="B17" s="69" t="s">
        <v>42</v>
      </c>
      <c r="C17" s="140">
        <v>62002</v>
      </c>
      <c r="D17" s="244">
        <v>63829</v>
      </c>
      <c r="E17" s="244">
        <v>65775</v>
      </c>
      <c r="F17" s="244">
        <v>67796</v>
      </c>
      <c r="G17" s="244">
        <v>69879</v>
      </c>
      <c r="H17" s="244"/>
      <c r="I17" s="244">
        <v>0</v>
      </c>
      <c r="J17" s="135"/>
      <c r="K17" s="39"/>
      <c r="L17" s="135">
        <f t="shared" si="0"/>
        <v>0</v>
      </c>
      <c r="M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row>
    <row r="18" spans="1:44" x14ac:dyDescent="0.2">
      <c r="A18" s="12" t="s">
        <v>888</v>
      </c>
      <c r="B18" s="69" t="s">
        <v>932</v>
      </c>
      <c r="C18" s="263"/>
      <c r="D18" s="39"/>
      <c r="E18" s="39">
        <v>65000</v>
      </c>
      <c r="F18" s="39">
        <v>55000</v>
      </c>
      <c r="G18" s="39">
        <v>55000</v>
      </c>
      <c r="H18" s="39"/>
      <c r="I18" s="39">
        <v>60000</v>
      </c>
      <c r="J18" s="40">
        <v>65000</v>
      </c>
      <c r="K18" s="39"/>
      <c r="L18" s="135">
        <f t="shared" si="0"/>
        <v>65000</v>
      </c>
      <c r="M18" s="40"/>
      <c r="O18" s="40">
        <v>65000</v>
      </c>
      <c r="P18" s="40">
        <v>70000</v>
      </c>
      <c r="Q18" s="40">
        <v>70000</v>
      </c>
      <c r="R18" s="40">
        <v>75000</v>
      </c>
      <c r="S18" s="40">
        <v>75000</v>
      </c>
      <c r="T18" s="40">
        <v>80000</v>
      </c>
      <c r="U18" s="40">
        <v>80000</v>
      </c>
      <c r="V18" s="40">
        <v>85000</v>
      </c>
      <c r="W18" s="40">
        <v>90000</v>
      </c>
      <c r="X18" s="40">
        <v>90000</v>
      </c>
      <c r="Y18" s="40">
        <v>95000</v>
      </c>
      <c r="Z18" s="40">
        <v>100000</v>
      </c>
      <c r="AA18" s="40">
        <v>105000</v>
      </c>
      <c r="AB18" s="40">
        <v>110000</v>
      </c>
      <c r="AC18" s="40"/>
      <c r="AD18" s="40"/>
      <c r="AE18" s="40"/>
      <c r="AF18" s="40"/>
      <c r="AG18" s="40"/>
      <c r="AH18" s="40"/>
      <c r="AI18" s="40"/>
      <c r="AJ18" s="40"/>
      <c r="AK18" s="40"/>
      <c r="AL18" s="40"/>
      <c r="AM18" s="40"/>
      <c r="AN18" s="40"/>
      <c r="AO18" s="40"/>
      <c r="AP18" s="40"/>
      <c r="AQ18" s="40"/>
      <c r="AR18" s="40"/>
    </row>
    <row r="19" spans="1:44" x14ac:dyDescent="0.2">
      <c r="A19" s="12" t="s">
        <v>1019</v>
      </c>
      <c r="B19" s="13" t="s">
        <v>1297</v>
      </c>
      <c r="C19" s="39"/>
      <c r="D19" s="39"/>
      <c r="E19" s="39"/>
      <c r="F19" s="39"/>
      <c r="G19" s="39"/>
      <c r="H19" s="39">
        <v>60000</v>
      </c>
      <c r="I19" s="39">
        <v>0</v>
      </c>
      <c r="J19" s="40">
        <v>64036</v>
      </c>
      <c r="K19" s="39">
        <v>64036</v>
      </c>
      <c r="L19" s="135">
        <f t="shared" si="0"/>
        <v>65428</v>
      </c>
      <c r="M19" s="40"/>
      <c r="O19" s="135">
        <v>65428</v>
      </c>
      <c r="P19" s="135">
        <v>66850</v>
      </c>
      <c r="Q19" s="135">
        <v>68302</v>
      </c>
      <c r="R19" s="135">
        <v>69787</v>
      </c>
      <c r="S19" s="135">
        <v>71304</v>
      </c>
      <c r="T19" s="135">
        <v>72853</v>
      </c>
      <c r="U19" s="135">
        <v>74437</v>
      </c>
      <c r="V19" s="135">
        <v>76054</v>
      </c>
      <c r="W19" s="135">
        <v>77707</v>
      </c>
      <c r="X19" s="135">
        <v>79396</v>
      </c>
      <c r="Y19" s="135">
        <v>81122</v>
      </c>
      <c r="Z19" s="135">
        <v>82855</v>
      </c>
      <c r="AA19" s="135">
        <v>84686</v>
      </c>
      <c r="AB19" s="135">
        <v>86527</v>
      </c>
      <c r="AC19" s="135">
        <v>88407</v>
      </c>
      <c r="AD19" s="135">
        <v>90329</v>
      </c>
      <c r="AE19" s="135">
        <v>92292</v>
      </c>
      <c r="AF19" s="40">
        <v>94298</v>
      </c>
      <c r="AG19" s="40">
        <v>96347</v>
      </c>
      <c r="AH19" s="40"/>
      <c r="AI19" s="40"/>
      <c r="AJ19" s="40"/>
      <c r="AK19" s="40"/>
      <c r="AL19" s="40"/>
      <c r="AM19" s="40"/>
      <c r="AN19" s="40"/>
      <c r="AO19" s="40"/>
      <c r="AP19" s="40"/>
      <c r="AQ19" s="40"/>
      <c r="AR19" s="40"/>
    </row>
    <row r="20" spans="1:44" x14ac:dyDescent="0.2">
      <c r="A20" s="12" t="s">
        <v>1032</v>
      </c>
      <c r="B20" s="13" t="s">
        <v>1034</v>
      </c>
      <c r="C20" s="39"/>
      <c r="D20" s="39"/>
      <c r="E20" s="39"/>
      <c r="F20" s="39"/>
      <c r="G20" s="39"/>
      <c r="H20" s="39"/>
      <c r="I20" s="39">
        <v>0</v>
      </c>
      <c r="J20" s="40">
        <v>2000</v>
      </c>
      <c r="K20" s="39">
        <v>2000</v>
      </c>
      <c r="L20" s="135">
        <f t="shared" si="0"/>
        <v>4000</v>
      </c>
      <c r="M20" s="40"/>
      <c r="O20" s="135">
        <v>4000</v>
      </c>
      <c r="P20" s="135">
        <v>4000</v>
      </c>
      <c r="Q20" s="135">
        <v>5000</v>
      </c>
      <c r="R20" s="135">
        <v>5000</v>
      </c>
      <c r="S20" s="135">
        <v>5000</v>
      </c>
      <c r="T20" s="135">
        <v>5000</v>
      </c>
      <c r="U20" s="135">
        <v>5000</v>
      </c>
      <c r="V20" s="135">
        <v>5000</v>
      </c>
      <c r="W20" s="135">
        <v>6000</v>
      </c>
      <c r="X20" s="135">
        <v>6000</v>
      </c>
      <c r="Y20" s="135">
        <v>6000</v>
      </c>
      <c r="Z20" s="135">
        <v>6000</v>
      </c>
      <c r="AA20" s="135">
        <v>6000</v>
      </c>
      <c r="AB20" s="135">
        <v>7000</v>
      </c>
      <c r="AC20" s="135">
        <v>7000</v>
      </c>
      <c r="AD20" s="135">
        <v>7000</v>
      </c>
      <c r="AE20" s="135">
        <v>7000</v>
      </c>
      <c r="AF20" s="40">
        <v>7000</v>
      </c>
      <c r="AG20" s="40">
        <v>8000</v>
      </c>
      <c r="AH20" s="40">
        <v>8000</v>
      </c>
      <c r="AI20" s="40">
        <v>8000</v>
      </c>
      <c r="AJ20" s="40">
        <v>8000</v>
      </c>
      <c r="AK20" s="40">
        <v>9000</v>
      </c>
      <c r="AL20" s="40">
        <v>8000</v>
      </c>
      <c r="AM20" s="40"/>
      <c r="AN20" s="40"/>
      <c r="AO20" s="40"/>
      <c r="AP20" s="40"/>
      <c r="AQ20" s="40"/>
      <c r="AR20" s="40"/>
    </row>
    <row r="21" spans="1:44" x14ac:dyDescent="0.2">
      <c r="A21" s="12" t="s">
        <v>1033</v>
      </c>
      <c r="B21" s="13" t="s">
        <v>1300</v>
      </c>
      <c r="C21" s="39"/>
      <c r="D21" s="39"/>
      <c r="E21" s="39"/>
      <c r="F21" s="39"/>
      <c r="G21" s="39"/>
      <c r="H21" s="39"/>
      <c r="I21" s="39">
        <v>0</v>
      </c>
      <c r="J21" s="40">
        <v>5000</v>
      </c>
      <c r="K21" s="39">
        <v>5000</v>
      </c>
      <c r="L21" s="135">
        <f t="shared" si="0"/>
        <v>10000</v>
      </c>
      <c r="M21" s="40"/>
      <c r="O21" s="135">
        <v>10000</v>
      </c>
      <c r="P21" s="135">
        <v>10000</v>
      </c>
      <c r="Q21" s="135">
        <v>11000</v>
      </c>
      <c r="R21" s="135">
        <v>12000</v>
      </c>
      <c r="S21" s="135">
        <v>12000</v>
      </c>
      <c r="T21" s="135">
        <v>12000</v>
      </c>
      <c r="U21" s="135">
        <v>13000</v>
      </c>
      <c r="V21" s="135">
        <v>13000</v>
      </c>
      <c r="W21" s="135">
        <v>14000</v>
      </c>
      <c r="X21" s="135">
        <v>14000</v>
      </c>
      <c r="Y21" s="135">
        <v>15000</v>
      </c>
      <c r="Z21" s="135">
        <v>15000</v>
      </c>
      <c r="AA21" s="135">
        <v>15000</v>
      </c>
      <c r="AB21" s="135">
        <v>16000</v>
      </c>
      <c r="AC21" s="135">
        <v>16000</v>
      </c>
      <c r="AD21" s="135">
        <v>17000</v>
      </c>
      <c r="AE21" s="135">
        <v>18000</v>
      </c>
      <c r="AF21" s="40">
        <v>18000</v>
      </c>
      <c r="AG21" s="40">
        <v>19000</v>
      </c>
      <c r="AH21" s="40">
        <v>19000</v>
      </c>
      <c r="AI21" s="40">
        <v>20000</v>
      </c>
      <c r="AJ21" s="40">
        <v>21000</v>
      </c>
      <c r="AK21" s="40">
        <v>21000</v>
      </c>
      <c r="AL21" s="40">
        <v>21000</v>
      </c>
      <c r="AM21" s="40"/>
      <c r="AN21" s="40"/>
      <c r="AO21" s="40"/>
      <c r="AP21" s="40"/>
      <c r="AQ21" s="40"/>
      <c r="AR21" s="40"/>
    </row>
    <row r="22" spans="1:44" x14ac:dyDescent="0.2">
      <c r="A22" s="12" t="s">
        <v>1096</v>
      </c>
      <c r="B22" s="13" t="s">
        <v>1092</v>
      </c>
      <c r="C22" s="39"/>
      <c r="D22" s="39"/>
      <c r="E22" s="39"/>
      <c r="F22" s="39"/>
      <c r="G22" s="39"/>
      <c r="H22" s="39"/>
      <c r="I22" s="39">
        <v>0</v>
      </c>
      <c r="J22" s="40">
        <v>5000</v>
      </c>
      <c r="K22" s="39">
        <v>5000</v>
      </c>
      <c r="L22" s="135">
        <f t="shared" si="0"/>
        <v>10000</v>
      </c>
      <c r="M22" s="40"/>
      <c r="O22" s="135">
        <v>10000</v>
      </c>
      <c r="P22" s="135">
        <v>10000</v>
      </c>
      <c r="Q22" s="135">
        <v>11000</v>
      </c>
      <c r="R22" s="135">
        <v>11000</v>
      </c>
      <c r="S22" s="135">
        <v>11000</v>
      </c>
      <c r="T22" s="135">
        <v>12000</v>
      </c>
      <c r="U22" s="135">
        <v>12000</v>
      </c>
      <c r="V22" s="135">
        <v>13000</v>
      </c>
      <c r="W22" s="135">
        <v>13000</v>
      </c>
      <c r="X22" s="135">
        <v>14000</v>
      </c>
      <c r="Y22" s="135">
        <v>14000</v>
      </c>
      <c r="Z22" s="135">
        <v>14000</v>
      </c>
      <c r="AA22" s="135">
        <v>15000</v>
      </c>
      <c r="AB22" s="135">
        <v>15000</v>
      </c>
      <c r="AC22" s="135">
        <v>16000</v>
      </c>
      <c r="AD22" s="135">
        <v>16000</v>
      </c>
      <c r="AE22" s="135">
        <v>17000</v>
      </c>
      <c r="AF22" s="40">
        <v>17000</v>
      </c>
      <c r="AG22" s="40">
        <v>18000</v>
      </c>
      <c r="AH22" s="40">
        <v>19000</v>
      </c>
      <c r="AI22" s="40">
        <v>19000</v>
      </c>
      <c r="AJ22" s="40">
        <v>20000</v>
      </c>
      <c r="AK22" s="40">
        <v>21000</v>
      </c>
      <c r="AL22" s="40">
        <v>20000</v>
      </c>
      <c r="AM22" s="40"/>
      <c r="AN22" s="40"/>
      <c r="AO22" s="40"/>
      <c r="AP22" s="40"/>
      <c r="AQ22" s="40"/>
      <c r="AR22" s="40"/>
    </row>
    <row r="23" spans="1:44" x14ac:dyDescent="0.2">
      <c r="A23" s="12" t="s">
        <v>1099</v>
      </c>
      <c r="B23" s="13" t="s">
        <v>1301</v>
      </c>
      <c r="C23" s="39"/>
      <c r="D23" s="39"/>
      <c r="E23" s="39"/>
      <c r="F23" s="39"/>
      <c r="G23" s="39"/>
      <c r="H23" s="39">
        <v>5000</v>
      </c>
      <c r="I23" s="39">
        <v>0</v>
      </c>
      <c r="J23" s="40">
        <v>1000</v>
      </c>
      <c r="K23" s="39">
        <v>1000</v>
      </c>
      <c r="L23" s="135">
        <f t="shared" si="0"/>
        <v>3000</v>
      </c>
      <c r="M23" s="40"/>
      <c r="O23" s="135">
        <v>3000</v>
      </c>
      <c r="P23" s="135">
        <v>3000</v>
      </c>
      <c r="Q23" s="135">
        <v>3000</v>
      </c>
      <c r="R23" s="135">
        <v>3000</v>
      </c>
      <c r="S23" s="135">
        <v>3000</v>
      </c>
      <c r="T23" s="135">
        <v>3000</v>
      </c>
      <c r="U23" s="135">
        <v>3000</v>
      </c>
      <c r="V23" s="135">
        <v>4000</v>
      </c>
      <c r="W23" s="135">
        <v>4000</v>
      </c>
      <c r="X23" s="135">
        <v>4000</v>
      </c>
      <c r="Y23" s="135">
        <v>4000</v>
      </c>
      <c r="Z23" s="135">
        <v>4000</v>
      </c>
      <c r="AA23" s="135">
        <v>4000</v>
      </c>
      <c r="AB23" s="135">
        <v>4000</v>
      </c>
      <c r="AC23" s="135">
        <v>4000</v>
      </c>
      <c r="AD23" s="135">
        <v>4000</v>
      </c>
      <c r="AE23" s="135">
        <v>5000</v>
      </c>
      <c r="AF23" s="40">
        <v>5000</v>
      </c>
      <c r="AG23" s="40">
        <v>5000</v>
      </c>
      <c r="AH23" s="40">
        <v>5000</v>
      </c>
      <c r="AI23" s="40">
        <v>5000</v>
      </c>
      <c r="AJ23" s="40">
        <v>6000</v>
      </c>
      <c r="AK23" s="40">
        <v>6000</v>
      </c>
      <c r="AL23" s="40">
        <v>5000</v>
      </c>
      <c r="AM23" s="40"/>
      <c r="AN23" s="40"/>
      <c r="AO23" s="40"/>
      <c r="AP23" s="40"/>
      <c r="AQ23" s="40"/>
      <c r="AR23" s="40"/>
    </row>
    <row r="24" spans="1:44" x14ac:dyDescent="0.2">
      <c r="A24" s="12" t="s">
        <v>1298</v>
      </c>
      <c r="B24" s="13" t="s">
        <v>1299</v>
      </c>
      <c r="C24" s="39"/>
      <c r="D24" s="39"/>
      <c r="E24" s="39"/>
      <c r="F24" s="39"/>
      <c r="G24" s="39"/>
      <c r="H24" s="39"/>
      <c r="I24" s="39"/>
      <c r="J24" s="40">
        <v>5000</v>
      </c>
      <c r="K24" s="39">
        <v>5000</v>
      </c>
      <c r="L24" s="135">
        <f t="shared" si="0"/>
        <v>10000</v>
      </c>
      <c r="M24" s="40"/>
      <c r="O24" s="135">
        <v>10000</v>
      </c>
      <c r="P24" s="135">
        <v>11000</v>
      </c>
      <c r="Q24" s="135">
        <v>11000</v>
      </c>
      <c r="R24" s="135">
        <v>12000</v>
      </c>
      <c r="S24" s="135">
        <v>12000</v>
      </c>
      <c r="T24" s="135">
        <v>13000</v>
      </c>
      <c r="U24" s="135">
        <v>13000</v>
      </c>
      <c r="V24" s="135">
        <v>14000</v>
      </c>
      <c r="W24" s="135">
        <v>14000</v>
      </c>
      <c r="X24" s="135">
        <v>15000</v>
      </c>
      <c r="Y24" s="135">
        <v>15000</v>
      </c>
      <c r="Z24" s="135">
        <v>16000</v>
      </c>
      <c r="AA24" s="135">
        <v>16000</v>
      </c>
      <c r="AB24" s="135">
        <v>17000</v>
      </c>
      <c r="AC24" s="135">
        <v>17000</v>
      </c>
      <c r="AD24" s="135">
        <v>18000</v>
      </c>
      <c r="AE24" s="135">
        <v>18000</v>
      </c>
      <c r="AF24" s="135">
        <v>19000</v>
      </c>
      <c r="AG24" s="40">
        <v>20000</v>
      </c>
      <c r="AH24" s="40">
        <v>20000</v>
      </c>
      <c r="AI24" s="40">
        <v>21000</v>
      </c>
      <c r="AJ24" s="40">
        <v>22000</v>
      </c>
      <c r="AK24" s="40">
        <v>22000</v>
      </c>
      <c r="AL24" s="40">
        <v>22000</v>
      </c>
      <c r="AM24" s="40"/>
      <c r="AN24" s="40"/>
      <c r="AO24" s="40"/>
      <c r="AP24" s="40"/>
      <c r="AQ24" s="40"/>
      <c r="AR24" s="40"/>
    </row>
    <row r="25" spans="1:44" x14ac:dyDescent="0.2">
      <c r="A25" s="30" t="s">
        <v>1295</v>
      </c>
      <c r="B25" s="31" t="s">
        <v>1296</v>
      </c>
      <c r="C25" s="39"/>
      <c r="D25" s="39"/>
      <c r="E25" s="39"/>
      <c r="F25" s="39"/>
      <c r="G25" s="39"/>
      <c r="H25" s="39"/>
      <c r="I25" s="39"/>
      <c r="J25" s="40">
        <v>1000</v>
      </c>
      <c r="K25" s="39">
        <v>1000</v>
      </c>
      <c r="L25" s="135">
        <f t="shared" si="0"/>
        <v>2000</v>
      </c>
      <c r="M25" s="40"/>
      <c r="O25" s="135">
        <v>2000</v>
      </c>
      <c r="P25" s="135">
        <v>2000</v>
      </c>
      <c r="Q25" s="135">
        <v>2000</v>
      </c>
      <c r="R25" s="135">
        <v>2000</v>
      </c>
      <c r="S25" s="135">
        <v>2000</v>
      </c>
      <c r="T25" s="135">
        <v>2000</v>
      </c>
      <c r="U25" s="135">
        <v>2000</v>
      </c>
      <c r="V25" s="135">
        <v>2000</v>
      </c>
      <c r="W25" s="135">
        <v>2000</v>
      </c>
      <c r="X25" s="135">
        <v>2000</v>
      </c>
      <c r="Y25" s="135">
        <v>3000</v>
      </c>
      <c r="Z25" s="135">
        <v>3000</v>
      </c>
      <c r="AA25" s="135">
        <v>3000</v>
      </c>
      <c r="AB25" s="135">
        <v>3000</v>
      </c>
      <c r="AC25" s="135">
        <v>3000</v>
      </c>
      <c r="AD25" s="135">
        <v>3000</v>
      </c>
      <c r="AE25" s="135">
        <v>3000</v>
      </c>
      <c r="AF25" s="40">
        <v>3000</v>
      </c>
      <c r="AG25" s="40">
        <v>2000</v>
      </c>
      <c r="AH25" s="40">
        <v>3000</v>
      </c>
      <c r="AI25" s="40">
        <v>3000</v>
      </c>
      <c r="AJ25" s="40">
        <v>4000</v>
      </c>
      <c r="AK25" s="40">
        <v>4000</v>
      </c>
      <c r="AL25" s="40">
        <v>4000</v>
      </c>
      <c r="AM25" s="40"/>
      <c r="AN25" s="40"/>
      <c r="AO25" s="40"/>
      <c r="AP25" s="40"/>
      <c r="AQ25" s="40"/>
      <c r="AR25" s="40"/>
    </row>
    <row r="26" spans="1:44" x14ac:dyDescent="0.2">
      <c r="A26" s="12" t="s">
        <v>1323</v>
      </c>
      <c r="B26" s="13" t="s">
        <v>1180</v>
      </c>
      <c r="C26" s="39"/>
      <c r="D26" s="39"/>
      <c r="E26" s="39"/>
      <c r="F26" s="39"/>
      <c r="G26" s="39"/>
      <c r="H26" s="39"/>
      <c r="I26" s="39"/>
      <c r="J26" s="40"/>
      <c r="K26" s="39"/>
      <c r="L26" s="135"/>
      <c r="M26" s="40"/>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40"/>
      <c r="AL26" s="40"/>
      <c r="AM26" s="40"/>
      <c r="AN26" s="40"/>
      <c r="AO26" s="40"/>
      <c r="AP26" s="40"/>
      <c r="AQ26" s="40"/>
      <c r="AR26" s="40"/>
    </row>
    <row r="27" spans="1:44" x14ac:dyDescent="0.2">
      <c r="A27" s="12"/>
      <c r="B27" s="13"/>
      <c r="C27" s="39"/>
      <c r="D27" s="39"/>
      <c r="E27" s="39"/>
      <c r="F27" s="39"/>
      <c r="G27" s="39"/>
      <c r="H27" s="39"/>
      <c r="I27" s="39"/>
      <c r="J27" s="40"/>
      <c r="K27" s="39"/>
      <c r="L27" s="135">
        <f t="shared" si="0"/>
        <v>0</v>
      </c>
      <c r="M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ht="13.5" thickBot="1" x14ac:dyDescent="0.25">
      <c r="A28" s="12"/>
      <c r="B28" s="13" t="s">
        <v>518</v>
      </c>
      <c r="C28" s="16"/>
      <c r="D28" s="340"/>
      <c r="E28" s="340"/>
      <c r="F28" s="340"/>
      <c r="G28" s="340"/>
      <c r="H28" s="340"/>
      <c r="I28" s="340"/>
      <c r="J28" s="189"/>
      <c r="K28" s="16"/>
      <c r="L28" s="189"/>
      <c r="M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row>
    <row r="29" spans="1:44" x14ac:dyDescent="0.2">
      <c r="A29" s="12"/>
      <c r="B29" s="18" t="s">
        <v>223</v>
      </c>
      <c r="C29" s="19">
        <f t="shared" ref="C29:K29" si="1">SUM(C9:C28)</f>
        <v>206863.17</v>
      </c>
      <c r="D29" s="19">
        <f t="shared" si="1"/>
        <v>205789.56</v>
      </c>
      <c r="E29" s="19">
        <f t="shared" si="1"/>
        <v>270272</v>
      </c>
      <c r="F29" s="19">
        <f t="shared" si="1"/>
        <v>263679.39</v>
      </c>
      <c r="G29" s="19">
        <f t="shared" si="1"/>
        <v>267810.93</v>
      </c>
      <c r="H29" s="19">
        <f t="shared" si="1"/>
        <v>200344.94</v>
      </c>
      <c r="I29" s="19">
        <f t="shared" si="1"/>
        <v>192350.88999999998</v>
      </c>
      <c r="J29" s="20">
        <f t="shared" si="1"/>
        <v>282624</v>
      </c>
      <c r="K29" s="19">
        <f t="shared" si="1"/>
        <v>182623.79</v>
      </c>
      <c r="L29" s="20">
        <f t="shared" ref="L29" si="2">SUM(L9:L28)</f>
        <v>302817</v>
      </c>
      <c r="M29" s="20">
        <f>SUM(M8:M28)</f>
        <v>0</v>
      </c>
      <c r="O29" s="20">
        <f t="shared" ref="O29:AR29" si="3">SUM(O8:O28)</f>
        <v>302817</v>
      </c>
      <c r="P29" s="20">
        <f t="shared" si="3"/>
        <v>306646</v>
      </c>
      <c r="Q29" s="20">
        <f t="shared" si="3"/>
        <v>308040</v>
      </c>
      <c r="R29" s="20">
        <f t="shared" si="3"/>
        <v>296520</v>
      </c>
      <c r="S29" s="20">
        <f t="shared" si="3"/>
        <v>300087</v>
      </c>
      <c r="T29" s="20">
        <f t="shared" si="3"/>
        <v>310739</v>
      </c>
      <c r="U29" s="20">
        <f t="shared" si="3"/>
        <v>315483</v>
      </c>
      <c r="V29" s="20">
        <f t="shared" si="3"/>
        <v>285057</v>
      </c>
      <c r="W29" s="20">
        <f t="shared" si="3"/>
        <v>295277</v>
      </c>
      <c r="X29" s="20">
        <f t="shared" si="3"/>
        <v>300581</v>
      </c>
      <c r="Y29" s="20">
        <f t="shared" si="3"/>
        <v>313970</v>
      </c>
      <c r="Z29" s="20">
        <f t="shared" si="3"/>
        <v>323417</v>
      </c>
      <c r="AA29" s="20">
        <f t="shared" si="3"/>
        <v>333014</v>
      </c>
      <c r="AB29" s="20">
        <f t="shared" si="3"/>
        <v>344674</v>
      </c>
      <c r="AC29" s="20">
        <f t="shared" si="3"/>
        <v>239430</v>
      </c>
      <c r="AD29" s="20">
        <f t="shared" si="3"/>
        <v>245285</v>
      </c>
      <c r="AE29" s="20">
        <f t="shared" si="3"/>
        <v>252241</v>
      </c>
      <c r="AF29" s="20">
        <f t="shared" si="3"/>
        <v>260301</v>
      </c>
      <c r="AG29" s="20">
        <f t="shared" si="3"/>
        <v>212998</v>
      </c>
      <c r="AH29" s="20">
        <f t="shared" si="3"/>
        <v>119503</v>
      </c>
      <c r="AI29" s="20">
        <f t="shared" si="3"/>
        <v>122390</v>
      </c>
      <c r="AJ29" s="20">
        <f t="shared" si="3"/>
        <v>128314</v>
      </c>
      <c r="AK29" s="20">
        <f t="shared" si="3"/>
        <v>134275</v>
      </c>
      <c r="AL29" s="20">
        <f t="shared" si="3"/>
        <v>132277</v>
      </c>
      <c r="AM29" s="20">
        <f t="shared" si="3"/>
        <v>53319</v>
      </c>
      <c r="AN29" s="20">
        <f t="shared" si="3"/>
        <v>27405</v>
      </c>
      <c r="AO29" s="20">
        <f t="shared" si="3"/>
        <v>28535</v>
      </c>
      <c r="AP29" s="20">
        <f t="shared" si="3"/>
        <v>29528</v>
      </c>
      <c r="AQ29" s="20">
        <f t="shared" si="3"/>
        <v>0</v>
      </c>
      <c r="AR29" s="20">
        <f t="shared" si="3"/>
        <v>0</v>
      </c>
    </row>
    <row r="30" spans="1:44" x14ac:dyDescent="0.2">
      <c r="A30" s="12"/>
      <c r="B30" s="18"/>
      <c r="C30" s="19"/>
      <c r="D30" s="341"/>
      <c r="E30" s="341"/>
      <c r="F30" s="341"/>
      <c r="G30" s="341"/>
      <c r="H30" s="341"/>
      <c r="I30" s="341"/>
      <c r="J30" s="183"/>
      <c r="K30" s="19"/>
      <c r="L30" s="183"/>
      <c r="M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row>
    <row r="31" spans="1:44" ht="13.5" thickBot="1" x14ac:dyDescent="0.25">
      <c r="A31" s="12"/>
      <c r="B31" s="105" t="s">
        <v>224</v>
      </c>
      <c r="C31" s="14"/>
      <c r="D31" s="155"/>
      <c r="E31" s="155"/>
      <c r="F31" s="155"/>
      <c r="G31" s="155"/>
      <c r="H31" s="155"/>
      <c r="I31" s="155"/>
      <c r="J31" s="184"/>
      <c r="K31" s="14"/>
      <c r="L31" s="184"/>
      <c r="M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row>
    <row r="32" spans="1:44" x14ac:dyDescent="0.2">
      <c r="A32" s="12" t="s">
        <v>514</v>
      </c>
      <c r="B32" s="13" t="s">
        <v>519</v>
      </c>
      <c r="C32" s="109">
        <v>14325</v>
      </c>
      <c r="D32" s="342">
        <f>6600+6600</f>
        <v>13200</v>
      </c>
      <c r="E32" s="342">
        <v>12000</v>
      </c>
      <c r="F32" s="342">
        <v>10725</v>
      </c>
      <c r="G32" s="342">
        <v>9375</v>
      </c>
      <c r="H32" s="342">
        <v>8025</v>
      </c>
      <c r="I32" s="342">
        <v>6675</v>
      </c>
      <c r="J32" s="265">
        <v>5250</v>
      </c>
      <c r="K32" s="109">
        <v>2625</v>
      </c>
      <c r="L32" s="135">
        <f t="shared" ref="L32:L54" si="4">+O32</f>
        <v>3750</v>
      </c>
      <c r="M32" s="40"/>
      <c r="O32" s="15">
        <f>1875+1875</f>
        <v>3750</v>
      </c>
      <c r="P32" s="15">
        <f>1250+1250</f>
        <v>2500</v>
      </c>
      <c r="Q32" s="15">
        <f>625+625</f>
        <v>1250</v>
      </c>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row>
    <row r="33" spans="1:44" x14ac:dyDescent="0.2">
      <c r="A33" s="12" t="s">
        <v>516</v>
      </c>
      <c r="B33" s="13" t="s">
        <v>520</v>
      </c>
      <c r="C33" s="128">
        <v>2262.5</v>
      </c>
      <c r="D33" s="343">
        <f>1037.5+1037.5</f>
        <v>2075</v>
      </c>
      <c r="E33" s="343">
        <v>1875</v>
      </c>
      <c r="F33" s="343">
        <v>1662.5</v>
      </c>
      <c r="G33" s="343">
        <v>1437.5</v>
      </c>
      <c r="H33" s="343">
        <v>1212.5</v>
      </c>
      <c r="I33" s="343">
        <v>987.5</v>
      </c>
      <c r="J33" s="266">
        <v>750</v>
      </c>
      <c r="K33" s="128">
        <v>375</v>
      </c>
      <c r="L33" s="135">
        <f t="shared" si="4"/>
        <v>500</v>
      </c>
      <c r="M33" s="40"/>
      <c r="O33" s="40">
        <v>500</v>
      </c>
      <c r="P33" s="40">
        <v>250</v>
      </c>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row>
    <row r="34" spans="1:44" x14ac:dyDescent="0.2">
      <c r="A34" s="12" t="s">
        <v>512</v>
      </c>
      <c r="B34" s="13" t="s">
        <v>43</v>
      </c>
      <c r="C34" s="128">
        <v>4144.22</v>
      </c>
      <c r="D34" s="343">
        <v>2496.9499999999998</v>
      </c>
      <c r="E34" s="343">
        <v>1096.1600000000001</v>
      </c>
      <c r="F34" s="343">
        <v>1006.08</v>
      </c>
      <c r="G34" s="343">
        <v>365.85</v>
      </c>
      <c r="H34" s="343">
        <v>9695.77</v>
      </c>
      <c r="I34" s="343">
        <v>0</v>
      </c>
      <c r="J34" s="266"/>
      <c r="K34" s="128"/>
      <c r="L34" s="135">
        <f t="shared" si="4"/>
        <v>0</v>
      </c>
      <c r="M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row>
    <row r="35" spans="1:44" x14ac:dyDescent="0.2">
      <c r="A35" s="12" t="s">
        <v>513</v>
      </c>
      <c r="B35" s="13" t="s">
        <v>45</v>
      </c>
      <c r="C35" s="128">
        <v>122.19</v>
      </c>
      <c r="D35" s="343">
        <v>44.59</v>
      </c>
      <c r="E35" s="343">
        <v>78.03</v>
      </c>
      <c r="F35" s="343">
        <v>55.73</v>
      </c>
      <c r="G35" s="343">
        <v>33.44</v>
      </c>
      <c r="H35" s="343">
        <v>11.15</v>
      </c>
      <c r="I35" s="343">
        <v>0</v>
      </c>
      <c r="J35" s="266"/>
      <c r="K35" s="128"/>
      <c r="L35" s="135">
        <f t="shared" si="4"/>
        <v>0</v>
      </c>
      <c r="M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row>
    <row r="36" spans="1:44" x14ac:dyDescent="0.2">
      <c r="A36" s="12" t="s">
        <v>396</v>
      </c>
      <c r="B36" s="13" t="s">
        <v>389</v>
      </c>
      <c r="C36" s="128">
        <v>8675</v>
      </c>
      <c r="D36" s="342">
        <f>3125+2750+900+775</f>
        <v>7550</v>
      </c>
      <c r="E36" s="342">
        <v>6675</v>
      </c>
      <c r="F36" s="342">
        <v>5925</v>
      </c>
      <c r="G36" s="342">
        <v>5175</v>
      </c>
      <c r="H36" s="342">
        <v>4500</v>
      </c>
      <c r="I36" s="342">
        <v>3900</v>
      </c>
      <c r="J36" s="266">
        <v>3300</v>
      </c>
      <c r="K36" s="128">
        <v>1800</v>
      </c>
      <c r="L36" s="135">
        <f t="shared" si="4"/>
        <v>2700</v>
      </c>
      <c r="M36" s="40"/>
      <c r="O36" s="40">
        <f>1400+1200+100</f>
        <v>2700</v>
      </c>
      <c r="P36" s="40">
        <v>2200</v>
      </c>
      <c r="Q36" s="40">
        <v>1800</v>
      </c>
      <c r="R36" s="40">
        <v>1400</v>
      </c>
      <c r="S36" s="40">
        <v>1000</v>
      </c>
      <c r="T36" s="40">
        <v>600</v>
      </c>
      <c r="U36" s="40">
        <v>200</v>
      </c>
      <c r="V36" s="40"/>
      <c r="W36" s="40"/>
      <c r="X36" s="40"/>
      <c r="Y36" s="40"/>
      <c r="Z36" s="40"/>
      <c r="AA36" s="40"/>
      <c r="AB36" s="40"/>
      <c r="AC36" s="40"/>
      <c r="AD36" s="40"/>
      <c r="AE36" s="40"/>
      <c r="AF36" s="40"/>
      <c r="AG36" s="40"/>
      <c r="AH36" s="40"/>
      <c r="AI36" s="40"/>
      <c r="AJ36" s="40"/>
      <c r="AK36" s="40"/>
      <c r="AL36" s="40"/>
      <c r="AM36" s="40"/>
      <c r="AN36" s="40"/>
      <c r="AO36" s="40"/>
      <c r="AP36" s="40"/>
      <c r="AQ36" s="40"/>
      <c r="AR36" s="40"/>
    </row>
    <row r="37" spans="1:44" x14ac:dyDescent="0.2">
      <c r="A37" s="12" t="s">
        <v>587</v>
      </c>
      <c r="B37" s="69" t="s">
        <v>36</v>
      </c>
      <c r="C37" s="128">
        <v>8786.7199999999993</v>
      </c>
      <c r="D37" s="343">
        <v>8258.9699999999993</v>
      </c>
      <c r="E37" s="343">
        <v>7720.61</v>
      </c>
      <c r="F37" s="343">
        <v>7171.36</v>
      </c>
      <c r="G37" s="343">
        <v>6571.41</v>
      </c>
      <c r="H37" s="343">
        <v>6039.35</v>
      </c>
      <c r="I37" s="343">
        <v>5456.13</v>
      </c>
      <c r="J37" s="266">
        <v>4861</v>
      </c>
      <c r="K37" s="128">
        <v>4861.13</v>
      </c>
      <c r="L37" s="135">
        <f t="shared" si="4"/>
        <v>4255</v>
      </c>
      <c r="M37" s="40"/>
      <c r="O37" s="266">
        <f>+'Split Debt Service'!G42</f>
        <v>4255</v>
      </c>
      <c r="P37" s="266">
        <f>ROUND((+'Split Debt Service'!H42),0)</f>
        <v>3635</v>
      </c>
      <c r="Q37" s="266">
        <f>+'Split Debt Service'!I42</f>
        <v>3004</v>
      </c>
      <c r="R37" s="266">
        <f>+'Split Debt Service'!J42</f>
        <v>2359</v>
      </c>
      <c r="S37" s="266">
        <f>+'Split Debt Service'!K42</f>
        <v>1701</v>
      </c>
      <c r="T37" s="266">
        <f>+'Split Debt Service'!L42</f>
        <v>1030</v>
      </c>
      <c r="U37" s="266">
        <f>+'Split Debt Service'!M42</f>
        <v>346</v>
      </c>
      <c r="V37" s="266">
        <f>+'Split Debt Service'!N42</f>
        <v>0</v>
      </c>
      <c r="W37" s="266">
        <f>+'Split Debt Service'!O42</f>
        <v>0</v>
      </c>
      <c r="X37" s="266">
        <f>+'Split Debt Service'!P42</f>
        <v>0</v>
      </c>
      <c r="Y37" s="266">
        <f>+'Split Debt Service'!Q42</f>
        <v>0</v>
      </c>
      <c r="Z37" s="266">
        <f>+'Split Debt Service'!R42</f>
        <v>0</v>
      </c>
      <c r="AA37" s="266">
        <f>+'Split Debt Service'!S42</f>
        <v>0</v>
      </c>
      <c r="AB37" s="266">
        <f>+'Split Debt Service'!T42</f>
        <v>0</v>
      </c>
      <c r="AC37" s="266">
        <f>+'Split Debt Service'!U42</f>
        <v>0</v>
      </c>
      <c r="AD37" s="266">
        <f>+'Split Debt Service'!V42</f>
        <v>0</v>
      </c>
      <c r="AE37" s="266">
        <f>+'Split Debt Service'!W42</f>
        <v>0</v>
      </c>
      <c r="AF37" s="266">
        <f>+'Split Debt Service'!X42</f>
        <v>0</v>
      </c>
      <c r="AG37" s="266">
        <f>+'Split Debt Service'!Y42</f>
        <v>0</v>
      </c>
      <c r="AH37" s="266">
        <f>+'Split Debt Service'!Z42</f>
        <v>0</v>
      </c>
      <c r="AI37" s="266">
        <f>+'Split Debt Service'!AA42</f>
        <v>0</v>
      </c>
      <c r="AJ37" s="266">
        <f>+'Split Debt Service'!AB42</f>
        <v>0</v>
      </c>
      <c r="AK37" s="266">
        <f>+'Split Debt Service'!AC42</f>
        <v>0</v>
      </c>
      <c r="AL37" s="266">
        <f>+'Split Debt Service'!AD42</f>
        <v>0</v>
      </c>
      <c r="AM37" s="266">
        <f>+'Split Debt Service'!AE42</f>
        <v>0</v>
      </c>
      <c r="AN37" s="266">
        <f>+'Split Debt Service'!AF42</f>
        <v>0</v>
      </c>
      <c r="AO37" s="266">
        <f>+'Split Debt Service'!AG42</f>
        <v>0</v>
      </c>
      <c r="AP37" s="266">
        <f>+'Split Debt Service'!AH42</f>
        <v>0</v>
      </c>
      <c r="AQ37" s="266">
        <f>+'Split Debt Service'!AI42</f>
        <v>0</v>
      </c>
      <c r="AR37" s="266">
        <f>+'Split Debt Service'!AJ42</f>
        <v>0</v>
      </c>
    </row>
    <row r="38" spans="1:44" x14ac:dyDescent="0.2">
      <c r="A38" s="12" t="s">
        <v>588</v>
      </c>
      <c r="B38" s="69" t="s">
        <v>39</v>
      </c>
      <c r="C38" s="128">
        <v>545.9</v>
      </c>
      <c r="D38" s="343">
        <v>619.41</v>
      </c>
      <c r="E38" s="343">
        <v>579.04</v>
      </c>
      <c r="F38" s="343">
        <v>537.85</v>
      </c>
      <c r="G38" s="343">
        <v>495.82</v>
      </c>
      <c r="H38" s="343">
        <v>452.95</v>
      </c>
      <c r="I38" s="343">
        <v>409.21</v>
      </c>
      <c r="J38" s="266">
        <v>365</v>
      </c>
      <c r="K38" s="128">
        <v>364.58</v>
      </c>
      <c r="L38" s="135">
        <f t="shared" si="4"/>
        <v>319</v>
      </c>
      <c r="M38" s="40"/>
      <c r="O38" s="266">
        <f>+'Split Debt Service'!G43</f>
        <v>319</v>
      </c>
      <c r="P38" s="266">
        <f>ROUND((+'Split Debt Service'!H43),0)</f>
        <v>273</v>
      </c>
      <c r="Q38" s="266">
        <f>+'Split Debt Service'!I43</f>
        <v>226</v>
      </c>
      <c r="R38" s="266">
        <f>+'Split Debt Service'!J43</f>
        <v>177</v>
      </c>
      <c r="S38" s="266">
        <f>+'Split Debt Service'!K43</f>
        <v>128</v>
      </c>
      <c r="T38" s="266">
        <f>+'Split Debt Service'!L43</f>
        <v>77</v>
      </c>
      <c r="U38" s="266">
        <f>+'Split Debt Service'!M43</f>
        <v>266</v>
      </c>
      <c r="V38" s="266">
        <f>+'Split Debt Service'!N43</f>
        <v>0</v>
      </c>
      <c r="W38" s="266">
        <f>+'Split Debt Service'!O43</f>
        <v>0</v>
      </c>
      <c r="X38" s="266">
        <f>+'Split Debt Service'!P43</f>
        <v>0</v>
      </c>
      <c r="Y38" s="266">
        <f>+'Split Debt Service'!Q43</f>
        <v>0</v>
      </c>
      <c r="Z38" s="266">
        <f>+'Split Debt Service'!R43</f>
        <v>0</v>
      </c>
      <c r="AA38" s="266">
        <f>+'Split Debt Service'!S43</f>
        <v>0</v>
      </c>
      <c r="AB38" s="266">
        <f>+'Split Debt Service'!T43</f>
        <v>0</v>
      </c>
      <c r="AC38" s="266">
        <f>+'Split Debt Service'!U43</f>
        <v>0</v>
      </c>
      <c r="AD38" s="266">
        <f>+'Split Debt Service'!V43</f>
        <v>0</v>
      </c>
      <c r="AE38" s="266">
        <f>+'Split Debt Service'!W43</f>
        <v>0</v>
      </c>
      <c r="AF38" s="266">
        <f>+'Split Debt Service'!X43</f>
        <v>0</v>
      </c>
      <c r="AG38" s="266">
        <f>+'Split Debt Service'!Y43</f>
        <v>0</v>
      </c>
      <c r="AH38" s="266">
        <f>+'Split Debt Service'!Z43</f>
        <v>0</v>
      </c>
      <c r="AI38" s="266">
        <f>+'Split Debt Service'!AA43</f>
        <v>0</v>
      </c>
      <c r="AJ38" s="266">
        <f>+'Split Debt Service'!AB43</f>
        <v>0</v>
      </c>
      <c r="AK38" s="266">
        <f>+'Split Debt Service'!AC43</f>
        <v>0</v>
      </c>
      <c r="AL38" s="266">
        <f>+'Split Debt Service'!AD43</f>
        <v>0</v>
      </c>
      <c r="AM38" s="266">
        <f>+'Split Debt Service'!AE43</f>
        <v>0</v>
      </c>
      <c r="AN38" s="266">
        <f>+'Split Debt Service'!AF43</f>
        <v>0</v>
      </c>
      <c r="AO38" s="266">
        <f>+'Split Debt Service'!AG43</f>
        <v>0</v>
      </c>
      <c r="AP38" s="266">
        <f>+'Split Debt Service'!AH43</f>
        <v>0</v>
      </c>
      <c r="AQ38" s="266">
        <f>+'Split Debt Service'!AI43</f>
        <v>0</v>
      </c>
      <c r="AR38" s="266">
        <f>+'Split Debt Service'!AJ43</f>
        <v>0</v>
      </c>
    </row>
    <row r="39" spans="1:44" x14ac:dyDescent="0.2">
      <c r="A39" s="12" t="s">
        <v>589</v>
      </c>
      <c r="B39" s="69" t="s">
        <v>37</v>
      </c>
      <c r="C39" s="128">
        <v>24734.01</v>
      </c>
      <c r="D39" s="343">
        <v>24023.5</v>
      </c>
      <c r="E39" s="343">
        <v>23295.65</v>
      </c>
      <c r="F39" s="343">
        <v>22550.01</v>
      </c>
      <c r="G39" s="343">
        <v>21786.15</v>
      </c>
      <c r="H39" s="343">
        <v>21003.63</v>
      </c>
      <c r="I39" s="343">
        <v>20201.97</v>
      </c>
      <c r="J39" s="266">
        <v>19381</v>
      </c>
      <c r="K39" s="128">
        <v>19380.72</v>
      </c>
      <c r="L39" s="135">
        <f t="shared" si="4"/>
        <v>18540</v>
      </c>
      <c r="M39" s="40"/>
      <c r="O39" s="266">
        <f>+'Split Debt Service'!G44</f>
        <v>18540</v>
      </c>
      <c r="P39" s="266">
        <f>ROUND((+'Split Debt Service'!H44),0)</f>
        <v>17678</v>
      </c>
      <c r="Q39" s="266">
        <f>+'Split Debt Service'!I44</f>
        <v>16795</v>
      </c>
      <c r="R39" s="266">
        <f>+'Split Debt Service'!J44</f>
        <v>15890</v>
      </c>
      <c r="S39" s="266">
        <f>+'Split Debt Service'!K44</f>
        <v>14964</v>
      </c>
      <c r="T39" s="266">
        <f>+'Split Debt Service'!L44</f>
        <v>14015</v>
      </c>
      <c r="U39" s="266">
        <f>+'Split Debt Service'!M44</f>
        <v>13042</v>
      </c>
      <c r="V39" s="266">
        <f>+'Split Debt Service'!N44</f>
        <v>12046.119999999999</v>
      </c>
      <c r="W39" s="266">
        <f>+'Split Debt Service'!O44</f>
        <v>11026</v>
      </c>
      <c r="X39" s="266">
        <f>+'Split Debt Service'!P44</f>
        <v>9980</v>
      </c>
      <c r="Y39" s="266">
        <f>+'Split Debt Service'!Q44</f>
        <v>8909</v>
      </c>
      <c r="Z39" s="266">
        <f>+'Split Debt Service'!R44</f>
        <v>7812</v>
      </c>
      <c r="AA39" s="266">
        <f>+'Split Debt Service'!S44</f>
        <v>6688</v>
      </c>
      <c r="AB39" s="266">
        <f>+'Split Debt Service'!T44</f>
        <v>5536</v>
      </c>
      <c r="AC39" s="266">
        <f>+'Split Debt Service'!U44</f>
        <v>4357</v>
      </c>
      <c r="AD39" s="266">
        <f>+'Split Debt Service'!V44</f>
        <v>3148</v>
      </c>
      <c r="AE39" s="266">
        <f>+'Split Debt Service'!W44</f>
        <v>1910</v>
      </c>
      <c r="AF39" s="266">
        <f>+'Split Debt Service'!X44</f>
        <v>642</v>
      </c>
      <c r="AG39" s="266">
        <f>+'Split Debt Service'!Y44</f>
        <v>0</v>
      </c>
      <c r="AH39" s="266">
        <f>+'Split Debt Service'!Z44</f>
        <v>0</v>
      </c>
      <c r="AI39" s="266">
        <f>+'Split Debt Service'!AA44</f>
        <v>0</v>
      </c>
      <c r="AJ39" s="266">
        <f>+'Split Debt Service'!AB44</f>
        <v>0</v>
      </c>
      <c r="AK39" s="266">
        <f>+'Split Debt Service'!AC44</f>
        <v>0</v>
      </c>
      <c r="AL39" s="266">
        <f>+'Split Debt Service'!AD44</f>
        <v>0</v>
      </c>
      <c r="AM39" s="266">
        <f>+'Split Debt Service'!AE44</f>
        <v>0</v>
      </c>
      <c r="AN39" s="266">
        <f>+'Split Debt Service'!AF44</f>
        <v>0</v>
      </c>
      <c r="AO39" s="266">
        <f>+'Split Debt Service'!AG44</f>
        <v>0</v>
      </c>
      <c r="AP39" s="266">
        <f>+'Split Debt Service'!AH44</f>
        <v>0</v>
      </c>
      <c r="AQ39" s="266">
        <f>+'Split Debt Service'!AI44</f>
        <v>0</v>
      </c>
      <c r="AR39" s="266">
        <f>+'Split Debt Service'!AJ44</f>
        <v>0</v>
      </c>
    </row>
    <row r="40" spans="1:44" x14ac:dyDescent="0.2">
      <c r="A40" s="12" t="s">
        <v>590</v>
      </c>
      <c r="B40" s="69" t="s">
        <v>40</v>
      </c>
      <c r="C40" s="128">
        <v>1536.9</v>
      </c>
      <c r="D40" s="343">
        <v>1548.49</v>
      </c>
      <c r="E40" s="343">
        <v>1447.54</v>
      </c>
      <c r="F40" s="343">
        <v>1401.21</v>
      </c>
      <c r="G40" s="343">
        <v>1353.74</v>
      </c>
      <c r="H40" s="343">
        <v>1305.1099999999999</v>
      </c>
      <c r="I40" s="343">
        <v>1255.3</v>
      </c>
      <c r="J40" s="266">
        <v>1205</v>
      </c>
      <c r="K40" s="128">
        <v>1204.27</v>
      </c>
      <c r="L40" s="135">
        <f t="shared" si="4"/>
        <v>1152</v>
      </c>
      <c r="M40" s="40"/>
      <c r="O40" s="266">
        <f>+'Split Debt Service'!G45</f>
        <v>1152</v>
      </c>
      <c r="P40" s="266">
        <f>ROUND((+'Split Debt Service'!H45),0)</f>
        <v>1099</v>
      </c>
      <c r="Q40" s="266">
        <f>+'Split Debt Service'!I45</f>
        <v>1044</v>
      </c>
      <c r="R40" s="266">
        <f>+'Split Debt Service'!J45</f>
        <v>988</v>
      </c>
      <c r="S40" s="266">
        <f>+'Split Debt Service'!K45</f>
        <v>870</v>
      </c>
      <c r="T40" s="266">
        <f>+'Split Debt Service'!L45</f>
        <v>871</v>
      </c>
      <c r="U40" s="266">
        <f>+'Split Debt Service'!M45</f>
        <v>811</v>
      </c>
      <c r="V40" s="266">
        <f>+'Split Debt Service'!N45</f>
        <v>749</v>
      </c>
      <c r="W40" s="266">
        <f>+'Split Debt Service'!O45</f>
        <v>685</v>
      </c>
      <c r="X40" s="266">
        <f>+'Split Debt Service'!P45</f>
        <v>620</v>
      </c>
      <c r="Y40" s="266">
        <f>+'Split Debt Service'!Q45</f>
        <v>554</v>
      </c>
      <c r="Z40" s="266">
        <f>+'Split Debt Service'!R45</f>
        <v>485</v>
      </c>
      <c r="AA40" s="266">
        <f>+'Split Debt Service'!S45</f>
        <v>416</v>
      </c>
      <c r="AB40" s="266">
        <f>+'Split Debt Service'!T45</f>
        <v>344</v>
      </c>
      <c r="AC40" s="266">
        <f>+'Split Debt Service'!U45</f>
        <v>271</v>
      </c>
      <c r="AD40" s="266">
        <f>+'Split Debt Service'!V45</f>
        <v>196</v>
      </c>
      <c r="AE40" s="266">
        <f>+'Split Debt Service'!W45</f>
        <v>119</v>
      </c>
      <c r="AF40" s="266">
        <f>+'Split Debt Service'!X45</f>
        <v>40</v>
      </c>
      <c r="AG40" s="266">
        <f>+'Split Debt Service'!Y45</f>
        <v>0</v>
      </c>
      <c r="AH40" s="266">
        <f>+'Split Debt Service'!Z45</f>
        <v>0</v>
      </c>
      <c r="AI40" s="266">
        <f>+'Split Debt Service'!AA45</f>
        <v>0</v>
      </c>
      <c r="AJ40" s="266">
        <f>+'Split Debt Service'!AB45</f>
        <v>0</v>
      </c>
      <c r="AK40" s="266">
        <f>+'Split Debt Service'!AC45</f>
        <v>0</v>
      </c>
      <c r="AL40" s="266">
        <f>+'Split Debt Service'!AD45</f>
        <v>0</v>
      </c>
      <c r="AM40" s="266">
        <f>+'Split Debt Service'!AE45</f>
        <v>0</v>
      </c>
      <c r="AN40" s="266">
        <f>+'Split Debt Service'!AF45</f>
        <v>0</v>
      </c>
      <c r="AO40" s="266">
        <f>+'Split Debt Service'!AG45</f>
        <v>0</v>
      </c>
      <c r="AP40" s="266">
        <f>+'Split Debt Service'!AH45</f>
        <v>0</v>
      </c>
      <c r="AQ40" s="266">
        <f>+'Split Debt Service'!AI45</f>
        <v>0</v>
      </c>
      <c r="AR40" s="266">
        <f>+'Split Debt Service'!AJ45</f>
        <v>0</v>
      </c>
    </row>
    <row r="41" spans="1:44" x14ac:dyDescent="0.2">
      <c r="A41" s="12" t="s">
        <v>591</v>
      </c>
      <c r="B41" s="69" t="s">
        <v>38</v>
      </c>
      <c r="C41" s="128">
        <v>25310.43</v>
      </c>
      <c r="D41" s="343">
        <v>25310.43</v>
      </c>
      <c r="E41" s="343">
        <v>24954.14</v>
      </c>
      <c r="F41" s="343">
        <v>24582.26</v>
      </c>
      <c r="G41" s="343">
        <v>24194.12</v>
      </c>
      <c r="H41" s="343">
        <v>23788.99</v>
      </c>
      <c r="I41" s="343">
        <v>23366.14</v>
      </c>
      <c r="J41" s="266">
        <v>22925</v>
      </c>
      <c r="K41" s="128">
        <v>22924.78</v>
      </c>
      <c r="L41" s="135">
        <f t="shared" si="4"/>
        <v>16148</v>
      </c>
      <c r="M41" s="40"/>
      <c r="O41" s="266">
        <f>+'Split Debt Service'!G46</f>
        <v>16148</v>
      </c>
      <c r="P41" s="266">
        <f>ROUND((+'Split Debt Service'!H46),0)</f>
        <v>15154</v>
      </c>
      <c r="Q41" s="266">
        <f>+'Split Debt Service'!I46</f>
        <v>14554</v>
      </c>
      <c r="R41" s="266">
        <f>+'Split Debt Service'!J46</f>
        <v>13954</v>
      </c>
      <c r="S41" s="266">
        <f>+'Split Debt Service'!K46</f>
        <v>13204</v>
      </c>
      <c r="T41" s="266">
        <f>+'Split Debt Service'!L46</f>
        <v>12454</v>
      </c>
      <c r="U41" s="266">
        <f>+'Split Debt Service'!M46</f>
        <v>11704</v>
      </c>
      <c r="V41" s="266">
        <f>+'Split Debt Service'!N46</f>
        <v>10954</v>
      </c>
      <c r="W41" s="266">
        <f>+'Split Debt Service'!O46</f>
        <v>10054</v>
      </c>
      <c r="X41" s="266">
        <f>+'Split Debt Service'!P46</f>
        <v>9154</v>
      </c>
      <c r="Y41" s="266">
        <f>+'Split Debt Service'!Q46</f>
        <v>8254</v>
      </c>
      <c r="Z41" s="266">
        <f>+'Split Debt Service'!R46</f>
        <v>7834</v>
      </c>
      <c r="AA41" s="266">
        <f>+'Split Debt Service'!S46</f>
        <v>7414</v>
      </c>
      <c r="AB41" s="266">
        <f>+'Split Debt Service'!T46</f>
        <v>6994</v>
      </c>
      <c r="AC41" s="266">
        <f>+'Split Debt Service'!U46</f>
        <v>6548</v>
      </c>
      <c r="AD41" s="266">
        <f>+'Split Debt Service'!V46</f>
        <v>6101</v>
      </c>
      <c r="AE41" s="266">
        <f>+'Split Debt Service'!W46</f>
        <v>5629</v>
      </c>
      <c r="AF41" s="266">
        <f>+'Split Debt Service'!X46</f>
        <v>5130</v>
      </c>
      <c r="AG41" s="266">
        <f>+'Split Debt Service'!Y46</f>
        <v>4560</v>
      </c>
      <c r="AH41" s="266">
        <f>+'Split Debt Service'!Z46</f>
        <v>3990</v>
      </c>
      <c r="AI41" s="266">
        <f>+'Split Debt Service'!AA46</f>
        <v>3390</v>
      </c>
      <c r="AJ41" s="266">
        <f>+'Split Debt Service'!AB46</f>
        <v>2790</v>
      </c>
      <c r="AK41" s="266">
        <f>+'Split Debt Service'!AC46</f>
        <v>2160</v>
      </c>
      <c r="AL41" s="266">
        <f>+'Split Debt Service'!AD46</f>
        <v>1451</v>
      </c>
      <c r="AM41" s="266">
        <f>+'Split Debt Service'!AE46</f>
        <v>743</v>
      </c>
      <c r="AN41" s="266">
        <f>+'Split Debt Service'!AF46</f>
        <v>0</v>
      </c>
      <c r="AO41" s="266">
        <f>+'Split Debt Service'!AG46</f>
        <v>0</v>
      </c>
      <c r="AP41" s="266">
        <f>+'Split Debt Service'!AH46</f>
        <v>0</v>
      </c>
      <c r="AQ41" s="266">
        <f>+'Split Debt Service'!AI46</f>
        <v>0</v>
      </c>
      <c r="AR41" s="266">
        <f>+'Split Debt Service'!AJ46</f>
        <v>0</v>
      </c>
    </row>
    <row r="42" spans="1:44" x14ac:dyDescent="0.2">
      <c r="A42" s="12" t="s">
        <v>592</v>
      </c>
      <c r="B42" s="69" t="s">
        <v>341</v>
      </c>
      <c r="C42" s="39">
        <v>23710.799999999999</v>
      </c>
      <c r="D42" s="343">
        <v>23412.71</v>
      </c>
      <c r="E42" s="343">
        <v>23102.63</v>
      </c>
      <c r="F42" s="343">
        <v>22779.73</v>
      </c>
      <c r="G42" s="343">
        <v>22443.54</v>
      </c>
      <c r="H42" s="343">
        <v>22093.47</v>
      </c>
      <c r="I42" s="343">
        <v>21728.97</v>
      </c>
      <c r="J42" s="266">
        <v>21350</v>
      </c>
      <c r="K42" s="128">
        <v>21349.43</v>
      </c>
      <c r="L42" s="135">
        <f t="shared" si="4"/>
        <v>20954</v>
      </c>
      <c r="M42" s="40"/>
      <c r="O42" s="266">
        <f>+'Split Debt Service'!G47</f>
        <v>20954</v>
      </c>
      <c r="P42" s="266">
        <f>ROUND((+'Split Debt Service'!H47),0)</f>
        <v>20543</v>
      </c>
      <c r="Q42" s="266">
        <f>+'Split Debt Service'!I47</f>
        <v>20114</v>
      </c>
      <c r="R42" s="266">
        <f>+'Split Debt Service'!J47</f>
        <v>19669</v>
      </c>
      <c r="S42" s="266">
        <f>+'Split Debt Service'!K47</f>
        <v>19204</v>
      </c>
      <c r="T42" s="266">
        <f>+'Split Debt Service'!L47</f>
        <v>18720</v>
      </c>
      <c r="U42" s="266">
        <f>+'Split Debt Service'!M47</f>
        <v>18217</v>
      </c>
      <c r="V42" s="266">
        <f>+'Split Debt Service'!N47</f>
        <v>17692</v>
      </c>
      <c r="W42" s="266">
        <f>+'Split Debt Service'!O47</f>
        <v>17146</v>
      </c>
      <c r="X42" s="266">
        <f>+'Split Debt Service'!P47</f>
        <v>16577</v>
      </c>
      <c r="Y42" s="266">
        <f>+'Split Debt Service'!Q47</f>
        <v>15985</v>
      </c>
      <c r="Z42" s="266">
        <f>+'Split Debt Service'!R47</f>
        <v>15369</v>
      </c>
      <c r="AA42" s="266">
        <f>+'Split Debt Service'!S47</f>
        <v>14727</v>
      </c>
      <c r="AB42" s="266">
        <f>+'Split Debt Service'!T47</f>
        <v>14059</v>
      </c>
      <c r="AC42" s="266">
        <f>+'Split Debt Service'!U47</f>
        <v>13363</v>
      </c>
      <c r="AD42" s="266">
        <f>+'Split Debt Service'!V47</f>
        <v>12638</v>
      </c>
      <c r="AE42" s="266">
        <f>+'Split Debt Service'!W47</f>
        <v>11883</v>
      </c>
      <c r="AF42" s="266">
        <f>+'Split Debt Service'!X47</f>
        <v>11098</v>
      </c>
      <c r="AG42" s="266">
        <f>+'Split Debt Service'!Y47</f>
        <v>10280</v>
      </c>
      <c r="AH42" s="266">
        <f>+'Split Debt Service'!Z47</f>
        <v>9428</v>
      </c>
      <c r="AI42" s="266">
        <f>+'Split Debt Service'!AA47</f>
        <v>8540</v>
      </c>
      <c r="AJ42" s="266">
        <f>+'Split Debt Service'!AB47</f>
        <v>7617</v>
      </c>
      <c r="AK42" s="266">
        <f>+'Split Debt Service'!AC47</f>
        <v>6655</v>
      </c>
      <c r="AL42" s="266">
        <f>+'Split Debt Service'!AD47</f>
        <v>5654</v>
      </c>
      <c r="AM42" s="266">
        <f>+'Split Debt Service'!AE47</f>
        <v>4612</v>
      </c>
      <c r="AN42" s="266">
        <f>+'Split Debt Service'!AF47</f>
        <v>1726</v>
      </c>
      <c r="AO42" s="266">
        <f>+'Split Debt Service'!AG47</f>
        <v>2395</v>
      </c>
      <c r="AP42" s="266">
        <f>+'Split Debt Service'!AH47</f>
        <v>1218</v>
      </c>
      <c r="AQ42" s="266">
        <f>+'Split Debt Service'!AI47</f>
        <v>0</v>
      </c>
      <c r="AR42" s="266">
        <f>+'Split Debt Service'!AJ47</f>
        <v>0</v>
      </c>
    </row>
    <row r="43" spans="1:44" x14ac:dyDescent="0.2">
      <c r="A43" s="12" t="s">
        <v>593</v>
      </c>
      <c r="B43" s="13" t="s">
        <v>42</v>
      </c>
      <c r="C43" s="128">
        <v>18050.560000000001</v>
      </c>
      <c r="D43" s="343">
        <v>14609.79</v>
      </c>
      <c r="E43" s="343">
        <v>11041.41</v>
      </c>
      <c r="F43" s="343">
        <v>7320.51</v>
      </c>
      <c r="G43" s="343">
        <v>1534.09</v>
      </c>
      <c r="H43" s="343"/>
      <c r="I43" s="343">
        <v>0</v>
      </c>
      <c r="J43" s="266"/>
      <c r="K43" s="128"/>
      <c r="L43" s="135">
        <f t="shared" si="4"/>
        <v>0</v>
      </c>
      <c r="M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row>
    <row r="44" spans="1:44" x14ac:dyDescent="0.2">
      <c r="A44" s="12" t="s">
        <v>594</v>
      </c>
      <c r="B44" s="13" t="s">
        <v>44</v>
      </c>
      <c r="C44" s="128">
        <v>493.92</v>
      </c>
      <c r="D44" s="343">
        <v>400.92</v>
      </c>
      <c r="E44" s="343">
        <v>305.18</v>
      </c>
      <c r="F44" s="343">
        <v>206.52</v>
      </c>
      <c r="G44" s="343">
        <v>104.82</v>
      </c>
      <c r="H44" s="343"/>
      <c r="I44" s="343">
        <v>0</v>
      </c>
      <c r="J44" s="266"/>
      <c r="K44" s="128"/>
      <c r="L44" s="135">
        <f t="shared" si="4"/>
        <v>0</v>
      </c>
      <c r="M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row>
    <row r="45" spans="1:44" x14ac:dyDescent="0.2">
      <c r="A45" s="12" t="s">
        <v>889</v>
      </c>
      <c r="B45" s="13" t="s">
        <v>932</v>
      </c>
      <c r="C45" s="128"/>
      <c r="D45" s="343"/>
      <c r="E45" s="343">
        <v>44234.86</v>
      </c>
      <c r="F45" s="343">
        <v>52400</v>
      </c>
      <c r="G45" s="343">
        <v>50750</v>
      </c>
      <c r="H45" s="343">
        <v>49100</v>
      </c>
      <c r="I45" s="343">
        <v>47299.25</v>
      </c>
      <c r="J45" s="266">
        <v>45500</v>
      </c>
      <c r="K45" s="128">
        <v>22750</v>
      </c>
      <c r="L45" s="135">
        <f t="shared" si="4"/>
        <v>43550</v>
      </c>
      <c r="M45" s="40"/>
      <c r="O45" s="40">
        <v>43550</v>
      </c>
      <c r="P45" s="40">
        <v>41600</v>
      </c>
      <c r="Q45" s="40">
        <v>39500</v>
      </c>
      <c r="R45" s="40">
        <v>37400</v>
      </c>
      <c r="S45" s="40">
        <v>35150</v>
      </c>
      <c r="T45" s="40">
        <v>32338</v>
      </c>
      <c r="U45" s="40">
        <v>29338</v>
      </c>
      <c r="V45" s="40">
        <v>26338</v>
      </c>
      <c r="W45" s="40">
        <v>23150</v>
      </c>
      <c r="X45" s="40">
        <v>19775</v>
      </c>
      <c r="Y45" s="40">
        <v>16400</v>
      </c>
      <c r="Z45" s="40">
        <v>12600</v>
      </c>
      <c r="AA45" s="40">
        <v>8600</v>
      </c>
      <c r="AB45" s="40">
        <v>4400</v>
      </c>
      <c r="AC45" s="40"/>
      <c r="AD45" s="40"/>
      <c r="AE45" s="40"/>
      <c r="AF45" s="40"/>
      <c r="AG45" s="40"/>
      <c r="AH45" s="40"/>
      <c r="AI45" s="40"/>
      <c r="AJ45" s="40"/>
      <c r="AK45" s="40"/>
      <c r="AL45" s="40"/>
      <c r="AM45" s="40"/>
      <c r="AN45" s="40"/>
      <c r="AO45" s="40"/>
      <c r="AP45" s="40"/>
      <c r="AQ45" s="40"/>
      <c r="AR45" s="40"/>
    </row>
    <row r="46" spans="1:44" x14ac:dyDescent="0.2">
      <c r="A46" s="12" t="s">
        <v>1017</v>
      </c>
      <c r="B46" s="13" t="s">
        <v>1297</v>
      </c>
      <c r="C46" s="128"/>
      <c r="D46" s="343"/>
      <c r="E46" s="343"/>
      <c r="F46" s="343"/>
      <c r="G46" s="343"/>
      <c r="H46" s="343"/>
      <c r="I46" s="343">
        <v>10817.49</v>
      </c>
      <c r="J46" s="266">
        <v>31021</v>
      </c>
      <c r="K46" s="128">
        <v>32207.87</v>
      </c>
      <c r="L46" s="135">
        <f>ROUND((+O46),0)</f>
        <v>29726</v>
      </c>
      <c r="M46" s="40"/>
      <c r="O46" s="135">
        <f>15190.11+14535.83</f>
        <v>29725.940000000002</v>
      </c>
      <c r="P46" s="135">
        <f>ROUND((14535.83+13867.33),0)</f>
        <v>28403</v>
      </c>
      <c r="Q46" s="135">
        <f>13867.33+13184.31</f>
        <v>27051.64</v>
      </c>
      <c r="R46" s="135">
        <f>13184.31+12486.44</f>
        <v>25670.75</v>
      </c>
      <c r="S46" s="135">
        <f>12486.44+11773.4</f>
        <v>24259.84</v>
      </c>
      <c r="T46" s="135">
        <f>11773.4+11044.87</f>
        <v>22818.27</v>
      </c>
      <c r="U46" s="135">
        <f>11044.87+10300.5</f>
        <v>21345.370000000003</v>
      </c>
      <c r="V46" s="135">
        <f>10300.5+9539.96</f>
        <v>19840.46</v>
      </c>
      <c r="W46" s="135">
        <f>5939.96+8762.89</f>
        <v>14702.849999999999</v>
      </c>
      <c r="X46" s="135">
        <f>8762.89+7968.93</f>
        <v>16731.82</v>
      </c>
      <c r="Y46" s="135">
        <f>7968.93+7157.71</f>
        <v>15126.64</v>
      </c>
      <c r="Z46" s="135">
        <f>7157.71+6328.86</f>
        <v>13486.57</v>
      </c>
      <c r="AA46" s="135">
        <f>6328.86+5482</f>
        <v>11810.86</v>
      </c>
      <c r="AB46" s="135">
        <f>5482+4616.73</f>
        <v>10098.73</v>
      </c>
      <c r="AC46" s="135">
        <f>4616.73+3732.66</f>
        <v>8349.39</v>
      </c>
      <c r="AD46" s="135">
        <f>3732.66+2829.37</f>
        <v>6562.03</v>
      </c>
      <c r="AE46" s="135">
        <f>2839.37+1906.45</f>
        <v>4745.82</v>
      </c>
      <c r="AF46" s="135">
        <f>1906.45+963.47</f>
        <v>2869.92</v>
      </c>
      <c r="AG46" s="135">
        <v>963.47</v>
      </c>
      <c r="AH46" s="40"/>
      <c r="AI46" s="40"/>
      <c r="AJ46" s="40"/>
      <c r="AK46" s="40"/>
      <c r="AL46" s="40"/>
      <c r="AM46" s="40"/>
      <c r="AN46" s="40"/>
      <c r="AO46" s="40"/>
      <c r="AP46" s="40"/>
      <c r="AQ46" s="40"/>
      <c r="AR46" s="40"/>
    </row>
    <row r="47" spans="1:44" x14ac:dyDescent="0.2">
      <c r="A47" s="12" t="s">
        <v>1018</v>
      </c>
      <c r="B47" s="13" t="s">
        <v>1177</v>
      </c>
      <c r="C47" s="128"/>
      <c r="D47" s="343"/>
      <c r="E47" s="343"/>
      <c r="F47" s="343"/>
      <c r="G47" s="343"/>
      <c r="H47" s="343"/>
      <c r="I47" s="343">
        <v>8726.5499999999993</v>
      </c>
      <c r="J47" s="266">
        <v>2327</v>
      </c>
      <c r="K47" s="128">
        <v>1139.26</v>
      </c>
      <c r="L47" s="135">
        <f t="shared" si="4"/>
        <v>2229.4700000000003</v>
      </c>
      <c r="M47" s="40"/>
      <c r="O47" s="135">
        <f>1090.19+1139.28</f>
        <v>2229.4700000000003</v>
      </c>
      <c r="P47" s="135">
        <f>ROUND((1040.05+1090.19),0)</f>
        <v>2130</v>
      </c>
      <c r="Q47" s="135">
        <f>988.82+1040.05</f>
        <v>2028.87</v>
      </c>
      <c r="R47" s="135">
        <f>936.48+988.82</f>
        <v>1925.3000000000002</v>
      </c>
      <c r="S47" s="135">
        <f>883.01+936.48</f>
        <v>1819.49</v>
      </c>
      <c r="T47" s="135">
        <f>828.37+883.01</f>
        <v>1711.38</v>
      </c>
      <c r="U47" s="135">
        <f>772.54+828.37</f>
        <v>1600.9099999999999</v>
      </c>
      <c r="V47" s="135">
        <f>715.5+772.54</f>
        <v>1488.04</v>
      </c>
      <c r="W47" s="135">
        <f>257.22+715.5</f>
        <v>972.72</v>
      </c>
      <c r="X47" s="135">
        <f>597.67+657.22</f>
        <v>1254.8899999999999</v>
      </c>
      <c r="Y47" s="135">
        <f>536.83+597.67</f>
        <v>1134.5</v>
      </c>
      <c r="Z47" s="135">
        <f>474.66+536.83</f>
        <v>1011.49</v>
      </c>
      <c r="AA47" s="135">
        <f>411.15+474.66</f>
        <v>885.81</v>
      </c>
      <c r="AB47" s="135">
        <f>346.25+411.15</f>
        <v>757.4</v>
      </c>
      <c r="AC47" s="135">
        <f>279.95+346.25</f>
        <v>626.20000000000005</v>
      </c>
      <c r="AD47" s="135">
        <f>212.2+279.95</f>
        <v>492.15</v>
      </c>
      <c r="AE47" s="135">
        <f>142.98+212.2</f>
        <v>355.17999999999995</v>
      </c>
      <c r="AF47" s="135">
        <f>72.26+142.98</f>
        <v>215.24</v>
      </c>
      <c r="AG47" s="135">
        <v>72.260000000000005</v>
      </c>
      <c r="AH47" s="40"/>
      <c r="AI47" s="40"/>
      <c r="AJ47" s="40"/>
      <c r="AK47" s="40"/>
      <c r="AL47" s="40"/>
      <c r="AM47" s="40"/>
      <c r="AN47" s="40"/>
      <c r="AO47" s="40"/>
      <c r="AP47" s="40"/>
      <c r="AQ47" s="40"/>
      <c r="AR47" s="40"/>
    </row>
    <row r="48" spans="1:44" x14ac:dyDescent="0.2">
      <c r="A48" s="12" t="s">
        <v>1093</v>
      </c>
      <c r="B48" s="13" t="s">
        <v>1034</v>
      </c>
      <c r="C48" s="128"/>
      <c r="D48" s="343"/>
      <c r="E48" s="343"/>
      <c r="F48" s="343"/>
      <c r="G48" s="343"/>
      <c r="H48" s="343"/>
      <c r="I48" s="343">
        <v>0</v>
      </c>
      <c r="J48" s="266">
        <v>7139</v>
      </c>
      <c r="K48" s="128">
        <v>4492.71</v>
      </c>
      <c r="L48" s="135">
        <f t="shared" si="4"/>
        <v>5192</v>
      </c>
      <c r="M48" s="40"/>
      <c r="O48" s="748">
        <v>5192</v>
      </c>
      <c r="P48" s="748">
        <v>4492</v>
      </c>
      <c r="Q48" s="748">
        <v>4767</v>
      </c>
      <c r="R48" s="748">
        <v>4517</v>
      </c>
      <c r="S48" s="748">
        <v>4323</v>
      </c>
      <c r="T48" s="748">
        <v>4185</v>
      </c>
      <c r="U48" s="748">
        <v>3992</v>
      </c>
      <c r="V48" s="748">
        <v>3792</v>
      </c>
      <c r="W48" s="748">
        <v>3627</v>
      </c>
      <c r="X48" s="135">
        <v>3447</v>
      </c>
      <c r="Y48" s="135">
        <v>3267</v>
      </c>
      <c r="Z48" s="135">
        <v>3087</v>
      </c>
      <c r="AA48" s="135">
        <v>2907</v>
      </c>
      <c r="AB48" s="135">
        <v>2712</v>
      </c>
      <c r="AC48" s="135">
        <v>2497</v>
      </c>
      <c r="AD48" s="135">
        <v>2274</v>
      </c>
      <c r="AE48" s="135">
        <v>2047</v>
      </c>
      <c r="AF48" s="135">
        <v>1819</v>
      </c>
      <c r="AG48" s="135">
        <v>1570</v>
      </c>
      <c r="AH48" s="40">
        <v>1295</v>
      </c>
      <c r="AI48" s="40">
        <v>1015</v>
      </c>
      <c r="AJ48" s="40">
        <v>735</v>
      </c>
      <c r="AK48" s="40">
        <v>738</v>
      </c>
      <c r="AL48" s="40">
        <v>140</v>
      </c>
      <c r="AM48" s="40"/>
      <c r="AN48" s="40"/>
      <c r="AO48" s="40"/>
      <c r="AP48" s="40"/>
      <c r="AQ48" s="40"/>
      <c r="AR48" s="40"/>
    </row>
    <row r="49" spans="1:44" x14ac:dyDescent="0.2">
      <c r="A49" s="12" t="s">
        <v>1094</v>
      </c>
      <c r="B49" s="13" t="s">
        <v>1300</v>
      </c>
      <c r="C49" s="128"/>
      <c r="D49" s="343"/>
      <c r="E49" s="343"/>
      <c r="F49" s="343"/>
      <c r="G49" s="343"/>
      <c r="H49" s="343"/>
      <c r="I49" s="343">
        <v>0</v>
      </c>
      <c r="J49" s="266">
        <v>17480</v>
      </c>
      <c r="K49" s="128">
        <v>11003.12</v>
      </c>
      <c r="L49" s="135">
        <f t="shared" si="4"/>
        <v>12704</v>
      </c>
      <c r="M49" s="40"/>
      <c r="O49" s="748">
        <v>12704</v>
      </c>
      <c r="P49" s="748">
        <v>12204</v>
      </c>
      <c r="Q49" s="748">
        <v>11679</v>
      </c>
      <c r="R49" s="748">
        <v>11104</v>
      </c>
      <c r="S49" s="748">
        <v>10639</v>
      </c>
      <c r="T49" s="748">
        <v>10309</v>
      </c>
      <c r="U49" s="748">
        <v>9819</v>
      </c>
      <c r="V49" s="748">
        <v>9299</v>
      </c>
      <c r="W49" s="748">
        <v>8894</v>
      </c>
      <c r="X49" s="135">
        <v>8474</v>
      </c>
      <c r="Y49" s="135">
        <v>8039</v>
      </c>
      <c r="Z49" s="135">
        <v>7589</v>
      </c>
      <c r="AA49" s="135">
        <v>7139</v>
      </c>
      <c r="AB49" s="135">
        <v>6674</v>
      </c>
      <c r="AC49" s="135">
        <v>6184</v>
      </c>
      <c r="AD49" s="135">
        <v>5658</v>
      </c>
      <c r="AE49" s="135">
        <v>5089</v>
      </c>
      <c r="AF49" s="135">
        <v>4504</v>
      </c>
      <c r="AG49" s="135">
        <v>3891</v>
      </c>
      <c r="AH49" s="40">
        <v>3238</v>
      </c>
      <c r="AI49" s="40">
        <v>2555</v>
      </c>
      <c r="AJ49" s="40">
        <v>1838</v>
      </c>
      <c r="AK49" s="40">
        <v>1103</v>
      </c>
      <c r="AL49" s="40">
        <v>368</v>
      </c>
      <c r="AM49" s="40"/>
      <c r="AN49" s="40"/>
      <c r="AO49" s="40"/>
      <c r="AP49" s="40"/>
      <c r="AQ49" s="40"/>
      <c r="AR49" s="40"/>
    </row>
    <row r="50" spans="1:44" x14ac:dyDescent="0.2">
      <c r="A50" s="12" t="s">
        <v>1097</v>
      </c>
      <c r="B50" s="13" t="s">
        <v>1092</v>
      </c>
      <c r="C50" s="128"/>
      <c r="D50" s="343"/>
      <c r="E50" s="343"/>
      <c r="F50" s="343"/>
      <c r="G50" s="343"/>
      <c r="H50" s="343"/>
      <c r="I50" s="343"/>
      <c r="J50" s="266">
        <v>16835</v>
      </c>
      <c r="K50" s="128">
        <v>10600</v>
      </c>
      <c r="L50" s="135">
        <f t="shared" si="4"/>
        <v>12220</v>
      </c>
      <c r="M50" s="40"/>
      <c r="O50" s="748">
        <v>12220</v>
      </c>
      <c r="P50" s="748">
        <v>11720</v>
      </c>
      <c r="Q50" s="748">
        <v>11195</v>
      </c>
      <c r="R50" s="748">
        <v>10645</v>
      </c>
      <c r="S50" s="748">
        <v>10219</v>
      </c>
      <c r="T50" s="748">
        <v>9903</v>
      </c>
      <c r="U50" s="748">
        <v>9438</v>
      </c>
      <c r="V50" s="748">
        <v>8943</v>
      </c>
      <c r="W50" s="748">
        <v>8553</v>
      </c>
      <c r="X50" s="135">
        <v>8148</v>
      </c>
      <c r="Y50" s="135">
        <v>7728</v>
      </c>
      <c r="Z50" s="135">
        <v>7308</v>
      </c>
      <c r="AA50" s="135">
        <v>6873</v>
      </c>
      <c r="AB50" s="135">
        <v>6423</v>
      </c>
      <c r="AC50" s="135">
        <v>5948</v>
      </c>
      <c r="AD50" s="135">
        <v>5438</v>
      </c>
      <c r="AE50" s="135">
        <v>4902</v>
      </c>
      <c r="AF50" s="135">
        <v>4349</v>
      </c>
      <c r="AG50" s="135">
        <v>3769</v>
      </c>
      <c r="AH50" s="40">
        <v>3133</v>
      </c>
      <c r="AI50" s="40">
        <v>2468</v>
      </c>
      <c r="AJ50" s="40">
        <v>1785</v>
      </c>
      <c r="AK50" s="40">
        <v>1068</v>
      </c>
      <c r="AL50" s="40">
        <v>350</v>
      </c>
      <c r="AM50" s="40"/>
      <c r="AN50" s="40"/>
      <c r="AO50" s="40"/>
      <c r="AP50" s="40"/>
      <c r="AQ50" s="40"/>
      <c r="AR50" s="40"/>
    </row>
    <row r="51" spans="1:44" x14ac:dyDescent="0.2">
      <c r="A51" s="12" t="s">
        <v>1098</v>
      </c>
      <c r="B51" s="13" t="s">
        <v>1301</v>
      </c>
      <c r="C51" s="128"/>
      <c r="D51" s="343"/>
      <c r="E51" s="343"/>
      <c r="F51" s="343"/>
      <c r="G51" s="343"/>
      <c r="H51" s="343"/>
      <c r="I51" s="343"/>
      <c r="J51" s="266">
        <v>4640</v>
      </c>
      <c r="K51" s="128">
        <v>2915.62</v>
      </c>
      <c r="L51" s="135">
        <f t="shared" si="4"/>
        <v>3374</v>
      </c>
      <c r="M51" s="40"/>
      <c r="O51" s="748">
        <v>3374</v>
      </c>
      <c r="P51" s="748">
        <v>3224</v>
      </c>
      <c r="Q51" s="748">
        <v>3074</v>
      </c>
      <c r="R51" s="748">
        <v>2924</v>
      </c>
      <c r="S51" s="748">
        <v>2808</v>
      </c>
      <c r="T51" s="748">
        <v>2725</v>
      </c>
      <c r="U51" s="748">
        <v>2609</v>
      </c>
      <c r="V51" s="748">
        <v>2474</v>
      </c>
      <c r="W51" s="748">
        <v>2354</v>
      </c>
      <c r="X51" s="135">
        <v>2234</v>
      </c>
      <c r="Y51" s="135">
        <v>2114</v>
      </c>
      <c r="Z51" s="135">
        <v>1994</v>
      </c>
      <c r="AA51" s="135">
        <v>1874</v>
      </c>
      <c r="AB51" s="135">
        <v>1754</v>
      </c>
      <c r="AC51" s="135">
        <v>1632</v>
      </c>
      <c r="AD51" s="135">
        <v>1504</v>
      </c>
      <c r="AE51" s="135">
        <v>1358</v>
      </c>
      <c r="AF51" s="135">
        <v>1195</v>
      </c>
      <c r="AG51" s="135">
        <v>1030</v>
      </c>
      <c r="AH51" s="40">
        <v>858</v>
      </c>
      <c r="AI51" s="40">
        <v>683</v>
      </c>
      <c r="AJ51" s="40">
        <v>490</v>
      </c>
      <c r="AK51" s="40">
        <v>580</v>
      </c>
      <c r="AL51" s="40">
        <v>88</v>
      </c>
      <c r="AM51" s="40"/>
      <c r="AN51" s="40"/>
      <c r="AO51" s="40"/>
      <c r="AP51" s="40"/>
      <c r="AQ51" s="40"/>
      <c r="AR51" s="40"/>
    </row>
    <row r="52" spans="1:44" x14ac:dyDescent="0.2">
      <c r="A52" s="12" t="s">
        <v>1298</v>
      </c>
      <c r="B52" s="13" t="s">
        <v>1299</v>
      </c>
      <c r="C52" s="128"/>
      <c r="D52" s="343"/>
      <c r="E52" s="343"/>
      <c r="F52" s="343"/>
      <c r="G52" s="343"/>
      <c r="H52" s="343"/>
      <c r="I52" s="343"/>
      <c r="J52" s="266">
        <v>18190</v>
      </c>
      <c r="K52" s="128">
        <v>11446.87</v>
      </c>
      <c r="L52" s="135">
        <f t="shared" si="4"/>
        <v>13237</v>
      </c>
      <c r="M52" s="40"/>
      <c r="O52" s="748">
        <v>13237</v>
      </c>
      <c r="P52" s="748">
        <v>12712</v>
      </c>
      <c r="Q52" s="748">
        <v>12162</v>
      </c>
      <c r="R52" s="748">
        <v>11587</v>
      </c>
      <c r="S52" s="748">
        <v>11122</v>
      </c>
      <c r="T52" s="748">
        <v>10778</v>
      </c>
      <c r="U52" s="748">
        <v>10274</v>
      </c>
      <c r="V52" s="748">
        <v>9739</v>
      </c>
      <c r="W52" s="748">
        <v>9319</v>
      </c>
      <c r="X52" s="135">
        <v>8884</v>
      </c>
      <c r="Y52" s="135">
        <v>8434</v>
      </c>
      <c r="Z52" s="135">
        <v>7969</v>
      </c>
      <c r="AA52" s="135">
        <v>7489</v>
      </c>
      <c r="AB52" s="135">
        <v>6994</v>
      </c>
      <c r="AC52" s="135">
        <v>6474</v>
      </c>
      <c r="AD52" s="135">
        <v>5915</v>
      </c>
      <c r="AE52" s="135">
        <v>5330</v>
      </c>
      <c r="AF52" s="135">
        <v>4729</v>
      </c>
      <c r="AG52" s="135">
        <v>1083</v>
      </c>
      <c r="AH52" s="40">
        <v>3395</v>
      </c>
      <c r="AI52" s="40">
        <v>2678</v>
      </c>
      <c r="AJ52" s="40">
        <v>1925</v>
      </c>
      <c r="AK52" s="40">
        <v>1155</v>
      </c>
      <c r="AL52" s="40">
        <v>385</v>
      </c>
      <c r="AM52" s="40"/>
      <c r="AN52" s="40"/>
      <c r="AO52" s="40"/>
      <c r="AP52" s="40"/>
      <c r="AQ52" s="40"/>
      <c r="AR52" s="40"/>
    </row>
    <row r="53" spans="1:44" x14ac:dyDescent="0.2">
      <c r="A53" s="30" t="s">
        <v>1295</v>
      </c>
      <c r="B53" s="31" t="s">
        <v>1296</v>
      </c>
      <c r="C53" s="128"/>
      <c r="D53" s="343"/>
      <c r="E53" s="343"/>
      <c r="F53" s="343"/>
      <c r="G53" s="343"/>
      <c r="H53" s="343"/>
      <c r="I53" s="343">
        <v>0.75</v>
      </c>
      <c r="J53" s="266">
        <v>3020</v>
      </c>
      <c r="K53" s="128">
        <v>1903.12</v>
      </c>
      <c r="L53" s="135">
        <f t="shared" si="4"/>
        <v>2184</v>
      </c>
      <c r="M53" s="40"/>
      <c r="O53" s="748">
        <v>2184</v>
      </c>
      <c r="P53" s="748">
        <v>2084</v>
      </c>
      <c r="Q53" s="748">
        <v>1984</v>
      </c>
      <c r="R53" s="748">
        <v>1884</v>
      </c>
      <c r="S53" s="748">
        <v>1807</v>
      </c>
      <c r="T53" s="748">
        <v>1752</v>
      </c>
      <c r="U53" s="748">
        <v>1674</v>
      </c>
      <c r="V53" s="748">
        <v>1594</v>
      </c>
      <c r="W53" s="748">
        <v>1534</v>
      </c>
      <c r="X53" s="135">
        <v>1474</v>
      </c>
      <c r="Y53" s="135">
        <v>1399</v>
      </c>
      <c r="Z53" s="135">
        <v>1309</v>
      </c>
      <c r="AA53" s="135">
        <v>1219</v>
      </c>
      <c r="AB53" s="135">
        <v>1129</v>
      </c>
      <c r="AC53" s="135">
        <v>1037</v>
      </c>
      <c r="AD53" s="135">
        <v>942</v>
      </c>
      <c r="AE53" s="135">
        <v>844</v>
      </c>
      <c r="AF53" s="135">
        <v>747</v>
      </c>
      <c r="AG53" s="135">
        <v>664</v>
      </c>
      <c r="AH53" s="40">
        <v>558</v>
      </c>
      <c r="AI53" s="40">
        <v>572</v>
      </c>
      <c r="AJ53" s="40">
        <v>350</v>
      </c>
      <c r="AK53" s="40">
        <v>210</v>
      </c>
      <c r="AL53" s="40">
        <v>70</v>
      </c>
      <c r="AM53" s="40"/>
      <c r="AN53" s="40"/>
      <c r="AO53" s="40"/>
      <c r="AP53" s="40"/>
      <c r="AQ53" s="40"/>
      <c r="AR53" s="40"/>
    </row>
    <row r="54" spans="1:44" x14ac:dyDescent="0.2">
      <c r="A54" s="12" t="s">
        <v>1323</v>
      </c>
      <c r="B54" s="13" t="s">
        <v>1179</v>
      </c>
      <c r="C54" s="128"/>
      <c r="D54" s="343"/>
      <c r="E54" s="343"/>
      <c r="F54" s="343"/>
      <c r="G54" s="343"/>
      <c r="H54" s="343"/>
      <c r="I54" s="343"/>
      <c r="J54" s="266"/>
      <c r="K54" s="128"/>
      <c r="L54" s="135">
        <f t="shared" si="4"/>
        <v>0</v>
      </c>
      <c r="M54" s="40"/>
      <c r="O54" s="748"/>
      <c r="P54" s="748"/>
      <c r="Q54" s="748"/>
      <c r="R54" s="748"/>
      <c r="S54" s="748"/>
      <c r="T54" s="748"/>
      <c r="U54" s="748"/>
      <c r="V54" s="748"/>
      <c r="W54" s="748"/>
      <c r="X54" s="135"/>
      <c r="Y54" s="135"/>
      <c r="Z54" s="135"/>
      <c r="AA54" s="135"/>
      <c r="AB54" s="135"/>
      <c r="AC54" s="135"/>
      <c r="AD54" s="135"/>
      <c r="AE54" s="135"/>
      <c r="AF54" s="135"/>
      <c r="AG54" s="135"/>
      <c r="AH54" s="40"/>
      <c r="AI54" s="40"/>
      <c r="AJ54" s="40"/>
      <c r="AK54" s="40"/>
      <c r="AL54" s="40"/>
      <c r="AM54" s="40"/>
      <c r="AN54" s="40"/>
      <c r="AO54" s="40"/>
      <c r="AP54" s="40"/>
      <c r="AQ54" s="40"/>
      <c r="AR54" s="40"/>
    </row>
    <row r="55" spans="1:44" ht="13.5" thickBot="1" x14ac:dyDescent="0.25">
      <c r="A55" s="12"/>
      <c r="B55" s="13"/>
      <c r="C55" s="129"/>
      <c r="D55" s="344"/>
      <c r="E55" s="344"/>
      <c r="F55" s="344"/>
      <c r="G55" s="344"/>
      <c r="H55" s="344"/>
      <c r="I55" s="829"/>
      <c r="J55" s="309"/>
      <c r="K55" s="129"/>
      <c r="L55" s="309"/>
      <c r="M55" s="189"/>
      <c r="O55" s="749"/>
      <c r="P55" s="749"/>
      <c r="Q55" s="749"/>
      <c r="R55" s="749"/>
      <c r="S55" s="749"/>
      <c r="T55" s="749"/>
      <c r="U55" s="749"/>
      <c r="V55" s="749"/>
      <c r="W55" s="749"/>
      <c r="X55" s="749"/>
      <c r="Y55" s="749"/>
      <c r="Z55" s="749"/>
      <c r="AA55" s="749"/>
      <c r="AB55" s="749"/>
      <c r="AC55" s="749"/>
      <c r="AD55" s="749"/>
      <c r="AE55" s="749"/>
      <c r="AF55" s="749"/>
      <c r="AG55" s="749"/>
      <c r="AH55" s="189"/>
      <c r="AI55" s="189"/>
      <c r="AJ55" s="189"/>
      <c r="AK55" s="189"/>
      <c r="AL55" s="189"/>
      <c r="AM55" s="189"/>
      <c r="AN55" s="189"/>
      <c r="AO55" s="189"/>
      <c r="AP55" s="189"/>
      <c r="AQ55" s="189"/>
      <c r="AR55" s="189"/>
    </row>
    <row r="56" spans="1:44" x14ac:dyDescent="0.2">
      <c r="A56" s="12"/>
      <c r="B56" s="18" t="s">
        <v>224</v>
      </c>
      <c r="C56" s="19">
        <f t="shared" ref="C56:K56" si="5">SUM(C32:C55)</f>
        <v>132698.15000000002</v>
      </c>
      <c r="D56" s="19">
        <f t="shared" si="5"/>
        <v>123550.76</v>
      </c>
      <c r="E56" s="19">
        <f t="shared" si="5"/>
        <v>158405.25</v>
      </c>
      <c r="F56" s="19">
        <f t="shared" si="5"/>
        <v>158323.76</v>
      </c>
      <c r="G56" s="19">
        <f t="shared" si="5"/>
        <v>145620.48000000001</v>
      </c>
      <c r="H56" s="19">
        <f t="shared" si="5"/>
        <v>147227.92000000001</v>
      </c>
      <c r="I56" s="136">
        <f t="shared" si="5"/>
        <v>150824.25999999998</v>
      </c>
      <c r="J56" s="134">
        <f t="shared" ref="J56" si="6">SUM(J32:J55)</f>
        <v>225539</v>
      </c>
      <c r="K56" s="19">
        <f t="shared" si="5"/>
        <v>173343.47999999998</v>
      </c>
      <c r="L56" s="134">
        <f t="shared" ref="L56" si="7">SUM(L32:L55)</f>
        <v>192734.47</v>
      </c>
      <c r="M56" s="20">
        <f>SUM(M31:M55)</f>
        <v>0</v>
      </c>
      <c r="O56" s="20">
        <f t="shared" ref="O56:AR56" si="8">SUM(O31:O55)</f>
        <v>192734.41</v>
      </c>
      <c r="P56" s="20">
        <f t="shared" si="8"/>
        <v>181901</v>
      </c>
      <c r="Q56" s="20">
        <f t="shared" si="8"/>
        <v>172228.51</v>
      </c>
      <c r="R56" s="20">
        <f t="shared" si="8"/>
        <v>162094.04999999999</v>
      </c>
      <c r="S56" s="20">
        <f t="shared" si="8"/>
        <v>153218.33000000002</v>
      </c>
      <c r="T56" s="20">
        <f t="shared" si="8"/>
        <v>144286.65000000002</v>
      </c>
      <c r="U56" s="20">
        <f t="shared" si="8"/>
        <v>134676.28</v>
      </c>
      <c r="V56" s="20">
        <f t="shared" si="8"/>
        <v>124948.61999999998</v>
      </c>
      <c r="W56" s="20">
        <f t="shared" si="8"/>
        <v>112017.57</v>
      </c>
      <c r="X56" s="20">
        <f t="shared" si="8"/>
        <v>106753.71</v>
      </c>
      <c r="Y56" s="20">
        <f t="shared" si="8"/>
        <v>97344.14</v>
      </c>
      <c r="Z56" s="20">
        <f t="shared" si="8"/>
        <v>87854.06</v>
      </c>
      <c r="AA56" s="20">
        <f t="shared" si="8"/>
        <v>78042.67</v>
      </c>
      <c r="AB56" s="20">
        <f t="shared" si="8"/>
        <v>67875.13</v>
      </c>
      <c r="AC56" s="20">
        <f t="shared" si="8"/>
        <v>57286.59</v>
      </c>
      <c r="AD56" s="20">
        <f t="shared" si="8"/>
        <v>50868.18</v>
      </c>
      <c r="AE56" s="20">
        <f t="shared" si="8"/>
        <v>44212</v>
      </c>
      <c r="AF56" s="20">
        <f t="shared" si="8"/>
        <v>37338.160000000003</v>
      </c>
      <c r="AG56" s="20">
        <f t="shared" si="8"/>
        <v>27882.73</v>
      </c>
      <c r="AH56" s="20">
        <f t="shared" si="8"/>
        <v>25895</v>
      </c>
      <c r="AI56" s="20">
        <f t="shared" si="8"/>
        <v>21901</v>
      </c>
      <c r="AJ56" s="20">
        <f t="shared" si="8"/>
        <v>17530</v>
      </c>
      <c r="AK56" s="20">
        <f t="shared" si="8"/>
        <v>13669</v>
      </c>
      <c r="AL56" s="20">
        <f t="shared" si="8"/>
        <v>8506</v>
      </c>
      <c r="AM56" s="20">
        <f t="shared" si="8"/>
        <v>5355</v>
      </c>
      <c r="AN56" s="20">
        <f t="shared" si="8"/>
        <v>1726</v>
      </c>
      <c r="AO56" s="20">
        <f t="shared" si="8"/>
        <v>2395</v>
      </c>
      <c r="AP56" s="20">
        <f t="shared" si="8"/>
        <v>1218</v>
      </c>
      <c r="AQ56" s="20">
        <f t="shared" si="8"/>
        <v>0</v>
      </c>
      <c r="AR56" s="20">
        <f t="shared" si="8"/>
        <v>0</v>
      </c>
    </row>
    <row r="57" spans="1:44" x14ac:dyDescent="0.2">
      <c r="A57" s="12"/>
      <c r="B57" s="13"/>
      <c r="C57" s="14"/>
      <c r="D57" s="155"/>
      <c r="E57" s="155"/>
      <c r="F57" s="155"/>
      <c r="G57" s="155"/>
      <c r="H57" s="155"/>
      <c r="I57" s="155"/>
      <c r="J57" s="184"/>
      <c r="K57" s="14"/>
      <c r="L57" s="184"/>
      <c r="M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3.5" thickBot="1" x14ac:dyDescent="0.25">
      <c r="A58" s="12" t="s">
        <v>225</v>
      </c>
      <c r="B58" s="13" t="s">
        <v>226</v>
      </c>
      <c r="C58" s="16">
        <v>0</v>
      </c>
      <c r="D58" s="16">
        <v>3829.25</v>
      </c>
      <c r="E58" s="16">
        <v>1687.82</v>
      </c>
      <c r="F58" s="16">
        <v>4042.69</v>
      </c>
      <c r="G58" s="16">
        <v>18640.21</v>
      </c>
      <c r="H58" s="16">
        <v>16073.39</v>
      </c>
      <c r="I58" s="16">
        <v>19952.82</v>
      </c>
      <c r="J58" s="17">
        <v>25000</v>
      </c>
      <c r="K58" s="16"/>
      <c r="L58" s="17">
        <v>25000</v>
      </c>
      <c r="M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row>
    <row r="59" spans="1:44" x14ac:dyDescent="0.2">
      <c r="A59" s="12"/>
      <c r="B59" s="18" t="s">
        <v>227</v>
      </c>
      <c r="C59" s="19">
        <f t="shared" ref="C59:K59" si="9">SUM(C58:C58)</f>
        <v>0</v>
      </c>
      <c r="D59" s="19">
        <f t="shared" si="9"/>
        <v>3829.25</v>
      </c>
      <c r="E59" s="19">
        <f t="shared" si="9"/>
        <v>1687.82</v>
      </c>
      <c r="F59" s="19">
        <f>SUM(F58)</f>
        <v>4042.69</v>
      </c>
      <c r="G59" s="19">
        <f>SUM(G58)</f>
        <v>18640.21</v>
      </c>
      <c r="H59" s="19">
        <f>SUM(H58)</f>
        <v>16073.39</v>
      </c>
      <c r="I59" s="19">
        <f t="shared" si="9"/>
        <v>19952.82</v>
      </c>
      <c r="J59" s="20">
        <f t="shared" ref="J59" si="10">SUM(J58:J58)</f>
        <v>25000</v>
      </c>
      <c r="K59" s="19">
        <f t="shared" si="9"/>
        <v>0</v>
      </c>
      <c r="L59" s="20">
        <f t="shared" ref="L59" si="11">SUM(L58:L58)</f>
        <v>25000</v>
      </c>
      <c r="M59" s="20">
        <f>SUM(M57:M58)</f>
        <v>0</v>
      </c>
      <c r="O59" s="20">
        <f t="shared" ref="O59:AR59" si="12">SUM(O57:O58)</f>
        <v>0</v>
      </c>
      <c r="P59" s="20">
        <f t="shared" si="12"/>
        <v>0</v>
      </c>
      <c r="Q59" s="20">
        <f t="shared" si="12"/>
        <v>0</v>
      </c>
      <c r="R59" s="20">
        <f t="shared" si="12"/>
        <v>0</v>
      </c>
      <c r="S59" s="20">
        <f t="shared" si="12"/>
        <v>0</v>
      </c>
      <c r="T59" s="20">
        <f t="shared" si="12"/>
        <v>0</v>
      </c>
      <c r="U59" s="20">
        <f t="shared" si="12"/>
        <v>0</v>
      </c>
      <c r="V59" s="20">
        <f t="shared" si="12"/>
        <v>0</v>
      </c>
      <c r="W59" s="20">
        <f t="shared" si="12"/>
        <v>0</v>
      </c>
      <c r="X59" s="20">
        <f t="shared" si="12"/>
        <v>0</v>
      </c>
      <c r="Y59" s="20">
        <f t="shared" si="12"/>
        <v>0</v>
      </c>
      <c r="Z59" s="20">
        <f t="shared" si="12"/>
        <v>0</v>
      </c>
      <c r="AA59" s="20">
        <f t="shared" si="12"/>
        <v>0</v>
      </c>
      <c r="AB59" s="20">
        <f t="shared" si="12"/>
        <v>0</v>
      </c>
      <c r="AC59" s="20">
        <f t="shared" si="12"/>
        <v>0</v>
      </c>
      <c r="AD59" s="20">
        <f t="shared" si="12"/>
        <v>0</v>
      </c>
      <c r="AE59" s="20">
        <f t="shared" si="12"/>
        <v>0</v>
      </c>
      <c r="AF59" s="20">
        <f t="shared" si="12"/>
        <v>0</v>
      </c>
      <c r="AG59" s="20">
        <f t="shared" si="12"/>
        <v>0</v>
      </c>
      <c r="AH59" s="20">
        <f t="shared" si="12"/>
        <v>0</v>
      </c>
      <c r="AI59" s="20">
        <f t="shared" si="12"/>
        <v>0</v>
      </c>
      <c r="AJ59" s="20">
        <f t="shared" si="12"/>
        <v>0</v>
      </c>
      <c r="AK59" s="20">
        <f t="shared" si="12"/>
        <v>0</v>
      </c>
      <c r="AL59" s="20">
        <f t="shared" si="12"/>
        <v>0</v>
      </c>
      <c r="AM59" s="20">
        <f t="shared" si="12"/>
        <v>0</v>
      </c>
      <c r="AN59" s="20">
        <f t="shared" si="12"/>
        <v>0</v>
      </c>
      <c r="AO59" s="20">
        <f t="shared" si="12"/>
        <v>0</v>
      </c>
      <c r="AP59" s="20">
        <f t="shared" si="12"/>
        <v>0</v>
      </c>
      <c r="AQ59" s="20">
        <f t="shared" si="12"/>
        <v>0</v>
      </c>
      <c r="AR59" s="20">
        <f t="shared" si="12"/>
        <v>0</v>
      </c>
    </row>
    <row r="60" spans="1:44" x14ac:dyDescent="0.2">
      <c r="A60" s="12"/>
      <c r="B60" s="13"/>
      <c r="C60" s="14"/>
      <c r="D60" s="14"/>
      <c r="E60" s="14"/>
      <c r="F60" s="14"/>
      <c r="G60" s="14"/>
      <c r="H60" s="14"/>
      <c r="I60" s="14"/>
      <c r="J60" s="15"/>
      <c r="K60" s="14"/>
      <c r="L60" s="15"/>
      <c r="M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row>
    <row r="61" spans="1:44" ht="13.5" thickBot="1" x14ac:dyDescent="0.25">
      <c r="A61" s="21"/>
      <c r="B61" s="22" t="s">
        <v>461</v>
      </c>
      <c r="C61" s="23">
        <f t="shared" ref="C61:K61" si="13">+C59+C56+C29</f>
        <v>339561.32000000007</v>
      </c>
      <c r="D61" s="23">
        <f t="shared" si="13"/>
        <v>333169.57</v>
      </c>
      <c r="E61" s="23">
        <f t="shared" si="13"/>
        <v>430365.07</v>
      </c>
      <c r="F61" s="23">
        <f t="shared" si="13"/>
        <v>426045.84</v>
      </c>
      <c r="G61" s="23">
        <f t="shared" si="13"/>
        <v>432071.62</v>
      </c>
      <c r="H61" s="23">
        <f>+H59+H56+H29</f>
        <v>363646.25</v>
      </c>
      <c r="I61" s="23">
        <f t="shared" si="13"/>
        <v>363127.97</v>
      </c>
      <c r="J61" s="24">
        <f t="shared" ref="J61" si="14">+J59+J56+J29</f>
        <v>533163</v>
      </c>
      <c r="K61" s="23">
        <f t="shared" si="13"/>
        <v>355967.27</v>
      </c>
      <c r="L61" s="24">
        <f t="shared" ref="L61" si="15">+L59+L56+L29</f>
        <v>520551.47</v>
      </c>
      <c r="M61" s="24">
        <f>+L61</f>
        <v>520551.47</v>
      </c>
      <c r="O61" s="24">
        <f t="shared" ref="O61:AR61" si="16">+O59+O56+O29</f>
        <v>495551.41000000003</v>
      </c>
      <c r="P61" s="24">
        <f t="shared" si="16"/>
        <v>488547</v>
      </c>
      <c r="Q61" s="24">
        <f t="shared" si="16"/>
        <v>480268.51</v>
      </c>
      <c r="R61" s="24">
        <f t="shared" si="16"/>
        <v>458614.05</v>
      </c>
      <c r="S61" s="24">
        <f t="shared" si="16"/>
        <v>453305.33</v>
      </c>
      <c r="T61" s="24">
        <f t="shared" si="16"/>
        <v>455025.65</v>
      </c>
      <c r="U61" s="24">
        <f t="shared" si="16"/>
        <v>450159.28</v>
      </c>
      <c r="V61" s="24">
        <f t="shared" si="16"/>
        <v>410005.62</v>
      </c>
      <c r="W61" s="24">
        <f t="shared" si="16"/>
        <v>407294.57</v>
      </c>
      <c r="X61" s="24">
        <f t="shared" si="16"/>
        <v>407334.71</v>
      </c>
      <c r="Y61" s="24">
        <f t="shared" si="16"/>
        <v>411314.14</v>
      </c>
      <c r="Z61" s="24">
        <f t="shared" si="16"/>
        <v>411271.06</v>
      </c>
      <c r="AA61" s="24">
        <f t="shared" si="16"/>
        <v>411056.67</v>
      </c>
      <c r="AB61" s="24">
        <f t="shared" si="16"/>
        <v>412549.13</v>
      </c>
      <c r="AC61" s="24">
        <f t="shared" si="16"/>
        <v>296716.58999999997</v>
      </c>
      <c r="AD61" s="24">
        <f t="shared" si="16"/>
        <v>296153.18</v>
      </c>
      <c r="AE61" s="24">
        <f t="shared" si="16"/>
        <v>296453</v>
      </c>
      <c r="AF61" s="24">
        <f t="shared" si="16"/>
        <v>297639.16000000003</v>
      </c>
      <c r="AG61" s="24">
        <f t="shared" si="16"/>
        <v>240880.73</v>
      </c>
      <c r="AH61" s="24">
        <f t="shared" si="16"/>
        <v>145398</v>
      </c>
      <c r="AI61" s="24">
        <f t="shared" si="16"/>
        <v>144291</v>
      </c>
      <c r="AJ61" s="24">
        <f t="shared" si="16"/>
        <v>145844</v>
      </c>
      <c r="AK61" s="24">
        <f t="shared" si="16"/>
        <v>147944</v>
      </c>
      <c r="AL61" s="24">
        <f t="shared" si="16"/>
        <v>140783</v>
      </c>
      <c r="AM61" s="24">
        <f t="shared" si="16"/>
        <v>58674</v>
      </c>
      <c r="AN61" s="24">
        <f t="shared" si="16"/>
        <v>29131</v>
      </c>
      <c r="AO61" s="24">
        <f t="shared" si="16"/>
        <v>30930</v>
      </c>
      <c r="AP61" s="24">
        <f t="shared" si="16"/>
        <v>30746</v>
      </c>
      <c r="AQ61" s="24">
        <f t="shared" si="16"/>
        <v>0</v>
      </c>
      <c r="AR61" s="24">
        <f t="shared" si="16"/>
        <v>0</v>
      </c>
    </row>
    <row r="62" spans="1:44" ht="13.5" thickTop="1" x14ac:dyDescent="0.2">
      <c r="A62" s="4"/>
      <c r="B62" s="4"/>
      <c r="C62" s="25"/>
      <c r="D62" s="25"/>
      <c r="E62" s="25"/>
      <c r="F62" s="25"/>
      <c r="G62" s="25"/>
      <c r="H62" s="25"/>
      <c r="I62" s="25"/>
      <c r="J62" s="25"/>
      <c r="K62" s="29"/>
      <c r="L62" s="25"/>
      <c r="M62" s="29"/>
    </row>
    <row r="63" spans="1:44" x14ac:dyDescent="0.2">
      <c r="A63" s="195"/>
      <c r="B63" s="161"/>
      <c r="C63" s="358"/>
      <c r="D63" s="358"/>
      <c r="E63" s="358"/>
      <c r="F63" s="358" t="s">
        <v>1178</v>
      </c>
      <c r="G63" s="404"/>
      <c r="H63" s="404"/>
      <c r="I63" s="358"/>
      <c r="J63" s="358"/>
      <c r="K63" s="208"/>
      <c r="L63" s="358">
        <f>+L61-J61</f>
        <v>-12611.530000000028</v>
      </c>
      <c r="M63" s="851">
        <f>ROUND((+L63/J61),4)</f>
        <v>-2.3699999999999999E-2</v>
      </c>
    </row>
    <row r="64" spans="1:44" x14ac:dyDescent="0.2">
      <c r="A64" s="161"/>
      <c r="B64" s="161"/>
      <c r="C64" s="358"/>
      <c r="D64" s="358"/>
      <c r="E64" s="358"/>
      <c r="F64" s="358"/>
      <c r="G64" s="404"/>
      <c r="H64" s="404"/>
      <c r="I64" s="358"/>
      <c r="J64" s="358"/>
      <c r="K64" s="208"/>
      <c r="L64" s="358"/>
      <c r="M64" s="208"/>
    </row>
    <row r="65" spans="1:14" x14ac:dyDescent="0.2">
      <c r="A65" s="72"/>
      <c r="B65" s="4"/>
      <c r="C65" s="25"/>
      <c r="D65" s="25"/>
      <c r="E65" s="25"/>
      <c r="F65" s="25"/>
      <c r="G65" s="25"/>
      <c r="H65" s="25"/>
      <c r="I65" s="25"/>
      <c r="J65" s="25"/>
      <c r="K65" s="29"/>
      <c r="L65" s="25"/>
      <c r="M65" s="25"/>
      <c r="N65" s="29"/>
    </row>
    <row r="66" spans="1:14" x14ac:dyDescent="0.2">
      <c r="A66" s="4"/>
      <c r="B66" s="4"/>
      <c r="C66" s="25"/>
      <c r="D66" s="25"/>
      <c r="E66" s="25"/>
      <c r="F66" s="25"/>
      <c r="G66" s="25"/>
      <c r="H66" s="25"/>
      <c r="I66" s="25"/>
      <c r="J66" s="25" t="s">
        <v>1644</v>
      </c>
      <c r="K66" s="4"/>
      <c r="L66" s="25">
        <f>+L61/(+'661 440 WPCF'!L43+'661 449 Hwy'!L27+'661 910 Benefits'!L18)</f>
        <v>0.26992319486942556</v>
      </c>
      <c r="M66" s="25"/>
      <c r="N66" s="4"/>
    </row>
    <row r="67" spans="1:14" x14ac:dyDescent="0.2">
      <c r="A67" s="4"/>
      <c r="B67" s="4"/>
      <c r="C67" s="25"/>
      <c r="D67" s="25"/>
      <c r="E67" s="25"/>
      <c r="F67" s="25"/>
      <c r="G67" s="25"/>
      <c r="H67" s="25"/>
      <c r="I67" s="25"/>
      <c r="J67" s="25"/>
      <c r="K67" s="4"/>
      <c r="L67" s="25"/>
      <c r="M67" s="25"/>
      <c r="N67" s="4"/>
    </row>
    <row r="68" spans="1:14" x14ac:dyDescent="0.2">
      <c r="A68" s="4"/>
      <c r="B68" s="4"/>
      <c r="C68" s="25"/>
      <c r="D68" s="25"/>
      <c r="E68" s="25"/>
      <c r="F68" s="25"/>
      <c r="G68" s="25"/>
      <c r="H68" s="25"/>
      <c r="I68" s="25"/>
      <c r="J68" s="25"/>
      <c r="K68" s="4"/>
      <c r="L68" s="25"/>
      <c r="M68" s="25"/>
      <c r="N68" s="4"/>
    </row>
    <row r="69" spans="1:14" x14ac:dyDescent="0.2">
      <c r="A69" s="4"/>
      <c r="B69" s="4"/>
      <c r="C69" s="25"/>
      <c r="D69" s="25"/>
      <c r="E69" s="25"/>
      <c r="F69" s="25"/>
      <c r="G69" s="25"/>
      <c r="H69" s="25"/>
      <c r="I69" s="25"/>
      <c r="J69" s="25"/>
      <c r="K69" s="4"/>
      <c r="L69" s="25"/>
      <c r="M69" s="25"/>
      <c r="N69" s="4"/>
    </row>
    <row r="70" spans="1:14" x14ac:dyDescent="0.2">
      <c r="A70" s="4"/>
      <c r="B70" s="4"/>
      <c r="C70" s="25"/>
      <c r="D70" s="25"/>
      <c r="E70" s="25"/>
      <c r="F70" s="25"/>
      <c r="G70" s="25"/>
      <c r="H70" s="25"/>
      <c r="I70" s="25"/>
      <c r="J70" s="25"/>
      <c r="K70" s="4"/>
      <c r="L70" s="25"/>
      <c r="M70" s="25"/>
      <c r="N70" s="4"/>
    </row>
    <row r="71" spans="1:14" x14ac:dyDescent="0.2">
      <c r="A71" s="4"/>
      <c r="B71" s="4"/>
      <c r="C71" s="25"/>
      <c r="D71" s="25"/>
      <c r="E71" s="25"/>
      <c r="F71" s="25"/>
      <c r="G71" s="25"/>
      <c r="H71" s="25"/>
      <c r="I71" s="25"/>
      <c r="J71" s="25"/>
      <c r="K71" s="4"/>
      <c r="L71" s="25"/>
      <c r="M71" s="25"/>
      <c r="N71" s="4"/>
    </row>
    <row r="72" spans="1:14" x14ac:dyDescent="0.2">
      <c r="A72" s="4"/>
      <c r="B72" s="4"/>
      <c r="C72" s="25"/>
      <c r="D72" s="25"/>
      <c r="E72" s="25"/>
      <c r="F72" s="25"/>
      <c r="G72" s="25"/>
      <c r="H72" s="25"/>
      <c r="I72" s="25"/>
      <c r="J72" s="25"/>
      <c r="K72" s="4"/>
      <c r="L72" s="25"/>
      <c r="M72" s="25"/>
      <c r="N72" s="4"/>
    </row>
    <row r="73" spans="1:14" x14ac:dyDescent="0.2">
      <c r="A73" s="4"/>
      <c r="B73" s="4"/>
      <c r="C73" s="25"/>
      <c r="D73" s="25"/>
      <c r="E73" s="25"/>
      <c r="F73" s="25"/>
      <c r="G73" s="25"/>
      <c r="H73" s="25"/>
      <c r="I73" s="25"/>
      <c r="J73" s="25"/>
      <c r="K73" s="4"/>
      <c r="L73" s="25"/>
      <c r="M73" s="25"/>
      <c r="N73" s="4"/>
    </row>
    <row r="74" spans="1:14" x14ac:dyDescent="0.2">
      <c r="A74" s="4"/>
      <c r="B74" s="4"/>
      <c r="C74" s="25"/>
      <c r="D74" s="25"/>
      <c r="E74" s="25"/>
      <c r="F74" s="25"/>
      <c r="G74" s="25"/>
      <c r="H74" s="25"/>
      <c r="I74" s="25"/>
      <c r="J74" s="25"/>
      <c r="K74" s="4"/>
      <c r="L74" s="25"/>
      <c r="M74" s="25"/>
      <c r="N74" s="4"/>
    </row>
    <row r="75" spans="1:14" x14ac:dyDescent="0.2">
      <c r="A75" s="4"/>
      <c r="B75" s="4"/>
      <c r="C75" s="25"/>
      <c r="D75" s="25"/>
      <c r="E75" s="25"/>
      <c r="F75" s="25"/>
      <c r="G75" s="25"/>
      <c r="H75" s="25"/>
      <c r="I75" s="25"/>
      <c r="J75" s="25"/>
      <c r="K75" s="4"/>
      <c r="L75" s="25"/>
      <c r="M75" s="25"/>
      <c r="N75" s="4"/>
    </row>
    <row r="76" spans="1:14" x14ac:dyDescent="0.2">
      <c r="A76" s="4"/>
      <c r="B76" s="4"/>
      <c r="C76" s="25"/>
      <c r="D76" s="25"/>
      <c r="E76" s="25"/>
      <c r="F76" s="25"/>
      <c r="G76" s="25"/>
      <c r="H76" s="25"/>
      <c r="I76" s="25"/>
      <c r="J76" s="25"/>
      <c r="K76" s="4"/>
      <c r="L76" s="25"/>
      <c r="M76" s="25"/>
      <c r="N76" s="4"/>
    </row>
    <row r="77" spans="1:14" x14ac:dyDescent="0.2">
      <c r="A77" s="4"/>
      <c r="B77" s="4"/>
      <c r="C77" s="25"/>
      <c r="D77" s="25"/>
      <c r="E77" s="25"/>
      <c r="F77" s="25"/>
      <c r="G77" s="25"/>
      <c r="H77" s="25"/>
      <c r="I77" s="25"/>
      <c r="J77" s="25"/>
      <c r="K77" s="4"/>
      <c r="L77" s="25"/>
      <c r="M77" s="25"/>
      <c r="N77" s="4"/>
    </row>
    <row r="78" spans="1:14" x14ac:dyDescent="0.2">
      <c r="A78" s="4"/>
      <c r="B78" s="4"/>
      <c r="C78" s="25"/>
      <c r="D78" s="25"/>
      <c r="E78" s="25"/>
      <c r="F78" s="25"/>
      <c r="G78" s="25"/>
      <c r="H78" s="25"/>
      <c r="I78" s="25"/>
      <c r="J78" s="25"/>
      <c r="K78" s="4"/>
      <c r="L78" s="25"/>
      <c r="M78" s="25"/>
      <c r="N78" s="4"/>
    </row>
    <row r="79" spans="1:14" x14ac:dyDescent="0.2">
      <c r="A79" s="4"/>
      <c r="B79" s="4"/>
      <c r="C79" s="25"/>
      <c r="D79" s="25"/>
      <c r="E79" s="25"/>
      <c r="F79" s="25"/>
      <c r="G79" s="25"/>
      <c r="H79" s="25"/>
      <c r="I79" s="25"/>
      <c r="J79" s="25"/>
      <c r="K79" s="4"/>
      <c r="L79" s="25"/>
      <c r="M79" s="25"/>
      <c r="N79" s="4"/>
    </row>
    <row r="80" spans="1:14" x14ac:dyDescent="0.2">
      <c r="A80" s="4"/>
      <c r="B80" s="4"/>
      <c r="C80" s="25"/>
      <c r="D80" s="25"/>
      <c r="E80" s="25"/>
      <c r="F80" s="25"/>
      <c r="G80" s="25"/>
      <c r="H80" s="25"/>
      <c r="I80" s="25"/>
      <c r="J80" s="25"/>
      <c r="K80" s="4"/>
      <c r="L80" s="25"/>
      <c r="M80" s="25"/>
      <c r="N80" s="4"/>
    </row>
    <row r="81" spans="1:14" x14ac:dyDescent="0.2">
      <c r="A81" s="4"/>
      <c r="B81" s="4"/>
      <c r="C81" s="25"/>
      <c r="D81" s="25"/>
      <c r="E81" s="25"/>
      <c r="F81" s="25"/>
      <c r="G81" s="25"/>
      <c r="H81" s="25"/>
      <c r="I81" s="25"/>
      <c r="J81" s="25"/>
      <c r="K81" s="4"/>
      <c r="L81" s="25"/>
      <c r="M81" s="25"/>
      <c r="N81" s="4"/>
    </row>
    <row r="82" spans="1:14" x14ac:dyDescent="0.2">
      <c r="A82" s="4"/>
      <c r="B82" s="4"/>
      <c r="C82" s="25"/>
      <c r="D82" s="25"/>
      <c r="E82" s="25"/>
      <c r="F82" s="25"/>
      <c r="G82" s="25"/>
      <c r="H82" s="25"/>
      <c r="I82" s="25"/>
      <c r="J82" s="25"/>
      <c r="K82" s="4"/>
      <c r="L82" s="25"/>
      <c r="M82" s="25"/>
      <c r="N82" s="4"/>
    </row>
    <row r="83" spans="1:14" x14ac:dyDescent="0.2">
      <c r="A83" s="4"/>
      <c r="B83" s="4"/>
      <c r="C83" s="25"/>
      <c r="D83" s="25"/>
      <c r="E83" s="25"/>
      <c r="F83" s="25"/>
      <c r="G83" s="25"/>
      <c r="H83" s="25"/>
      <c r="I83" s="25"/>
      <c r="J83" s="25"/>
      <c r="K83" s="4"/>
      <c r="L83" s="25"/>
      <c r="M83" s="25"/>
      <c r="N83" s="4"/>
    </row>
    <row r="84" spans="1:14" x14ac:dyDescent="0.2">
      <c r="A84" s="4"/>
      <c r="B84" s="4"/>
      <c r="C84" s="25"/>
      <c r="D84" s="25"/>
      <c r="E84" s="25"/>
      <c r="F84" s="25"/>
      <c r="G84" s="25"/>
      <c r="H84" s="25"/>
      <c r="I84" s="25"/>
      <c r="J84" s="25"/>
      <c r="K84" s="4"/>
      <c r="L84" s="25"/>
      <c r="M84" s="25"/>
      <c r="N84" s="4"/>
    </row>
    <row r="85" spans="1:14" x14ac:dyDescent="0.2">
      <c r="A85" s="4"/>
      <c r="B85" s="4"/>
      <c r="C85" s="25"/>
      <c r="D85" s="25"/>
      <c r="E85" s="25"/>
      <c r="F85" s="25"/>
      <c r="G85" s="25"/>
      <c r="H85" s="25"/>
      <c r="I85" s="25"/>
      <c r="J85" s="25"/>
      <c r="K85" s="4"/>
      <c r="L85" s="25"/>
      <c r="M85" s="25"/>
      <c r="N85" s="4"/>
    </row>
    <row r="86" spans="1:14" x14ac:dyDescent="0.2">
      <c r="A86" s="4"/>
      <c r="B86" s="4"/>
      <c r="C86" s="25"/>
      <c r="D86" s="25"/>
      <c r="E86" s="25"/>
      <c r="F86" s="25"/>
      <c r="G86" s="25"/>
      <c r="H86" s="25"/>
      <c r="I86" s="25"/>
      <c r="J86" s="25"/>
      <c r="K86" s="4"/>
      <c r="L86" s="25"/>
      <c r="M86" s="25"/>
      <c r="N86" s="4"/>
    </row>
    <row r="87" spans="1:14" x14ac:dyDescent="0.2">
      <c r="A87" s="4"/>
      <c r="B87" s="4"/>
      <c r="C87" s="25"/>
      <c r="D87" s="25"/>
      <c r="E87" s="25"/>
      <c r="F87" s="25"/>
      <c r="G87" s="25"/>
      <c r="H87" s="25"/>
      <c r="I87" s="25"/>
      <c r="J87" s="25"/>
      <c r="K87" s="4"/>
      <c r="L87" s="25"/>
      <c r="M87" s="25"/>
      <c r="N87" s="4"/>
    </row>
    <row r="88" spans="1:14" x14ac:dyDescent="0.2">
      <c r="A88" s="4"/>
      <c r="B88" s="4"/>
      <c r="C88" s="25"/>
      <c r="D88" s="25"/>
      <c r="E88" s="25"/>
      <c r="F88" s="25"/>
      <c r="G88" s="25"/>
      <c r="H88" s="25"/>
      <c r="I88" s="25"/>
      <c r="J88" s="25"/>
      <c r="K88" s="4"/>
      <c r="L88" s="25"/>
      <c r="M88" s="25"/>
      <c r="N88" s="4"/>
    </row>
    <row r="89" spans="1:14" x14ac:dyDescent="0.2">
      <c r="A89" s="4"/>
      <c r="B89" s="4"/>
      <c r="C89" s="25"/>
      <c r="D89" s="25"/>
      <c r="E89" s="25"/>
      <c r="F89" s="25"/>
      <c r="G89" s="25"/>
      <c r="H89" s="25"/>
      <c r="I89" s="25"/>
      <c r="J89" s="25"/>
      <c r="K89" s="4"/>
      <c r="L89" s="25"/>
      <c r="M89" s="25"/>
      <c r="N89" s="4"/>
    </row>
    <row r="90" spans="1:14" x14ac:dyDescent="0.2">
      <c r="A90" s="4"/>
      <c r="B90" s="4"/>
      <c r="C90" s="25"/>
      <c r="D90" s="25"/>
      <c r="E90" s="25"/>
      <c r="F90" s="25"/>
      <c r="G90" s="25"/>
      <c r="H90" s="25"/>
      <c r="I90" s="25"/>
      <c r="J90" s="25"/>
      <c r="K90" s="4"/>
      <c r="L90" s="25"/>
      <c r="M90" s="25"/>
      <c r="N90" s="4"/>
    </row>
    <row r="91" spans="1:14" x14ac:dyDescent="0.2">
      <c r="A91" s="4"/>
      <c r="B91" s="4"/>
      <c r="C91" s="25"/>
      <c r="D91" s="25"/>
      <c r="E91" s="25"/>
      <c r="F91" s="25"/>
      <c r="G91" s="25"/>
      <c r="H91" s="25"/>
      <c r="I91" s="25"/>
      <c r="J91" s="25"/>
      <c r="K91" s="4"/>
      <c r="L91" s="25"/>
      <c r="M91" s="25"/>
      <c r="N91" s="4"/>
    </row>
    <row r="92" spans="1:14" x14ac:dyDescent="0.2">
      <c r="A92" s="4"/>
      <c r="B92" s="4"/>
      <c r="C92" s="25"/>
      <c r="D92" s="25"/>
      <c r="E92" s="25"/>
      <c r="F92" s="25"/>
      <c r="G92" s="25"/>
      <c r="H92" s="25"/>
      <c r="I92" s="25"/>
      <c r="J92" s="25"/>
      <c r="K92" s="4"/>
      <c r="L92" s="25"/>
      <c r="M92" s="25"/>
      <c r="N92" s="4"/>
    </row>
    <row r="93" spans="1:14" x14ac:dyDescent="0.2">
      <c r="A93" s="4"/>
      <c r="B93" s="4"/>
      <c r="C93" s="25"/>
      <c r="D93" s="25"/>
      <c r="E93" s="25"/>
      <c r="F93" s="25"/>
      <c r="G93" s="25"/>
      <c r="H93" s="25"/>
      <c r="I93" s="25"/>
      <c r="J93" s="25"/>
      <c r="K93" s="4"/>
      <c r="L93" s="25"/>
      <c r="M93" s="25"/>
      <c r="N93" s="4"/>
    </row>
    <row r="94" spans="1:14" x14ac:dyDescent="0.2">
      <c r="A94" s="4"/>
      <c r="B94" s="4"/>
      <c r="C94" s="25"/>
      <c r="D94" s="25"/>
      <c r="E94" s="25"/>
      <c r="F94" s="25"/>
      <c r="G94" s="25"/>
      <c r="H94" s="25"/>
      <c r="I94" s="25"/>
      <c r="J94" s="25"/>
      <c r="K94" s="4"/>
      <c r="L94" s="25"/>
      <c r="M94" s="25"/>
      <c r="N94" s="4"/>
    </row>
    <row r="95" spans="1:14" x14ac:dyDescent="0.2">
      <c r="A95" s="4"/>
      <c r="B95" s="4"/>
      <c r="C95" s="25"/>
      <c r="D95" s="25"/>
      <c r="E95" s="25"/>
      <c r="F95" s="25"/>
      <c r="G95" s="25"/>
      <c r="H95" s="25"/>
      <c r="I95" s="25"/>
      <c r="J95" s="25"/>
      <c r="K95" s="4"/>
      <c r="L95" s="25"/>
      <c r="M95" s="25"/>
      <c r="N95" s="4"/>
    </row>
    <row r="96" spans="1:14" x14ac:dyDescent="0.2">
      <c r="A96" s="4"/>
      <c r="B96" s="4"/>
      <c r="C96" s="25"/>
      <c r="D96" s="25"/>
      <c r="E96" s="25"/>
      <c r="F96" s="25"/>
      <c r="G96" s="25"/>
      <c r="H96" s="25"/>
      <c r="I96" s="25"/>
      <c r="J96" s="25"/>
      <c r="K96" s="4"/>
      <c r="L96" s="25"/>
      <c r="M96" s="25"/>
      <c r="N96" s="4"/>
    </row>
    <row r="97" spans="1:14" x14ac:dyDescent="0.2">
      <c r="A97" s="4"/>
      <c r="B97" s="4"/>
      <c r="C97" s="25"/>
      <c r="D97" s="25"/>
      <c r="E97" s="25"/>
      <c r="F97" s="25"/>
      <c r="G97" s="25"/>
      <c r="H97" s="25"/>
      <c r="I97" s="25"/>
      <c r="J97" s="25"/>
      <c r="K97" s="4"/>
      <c r="L97" s="25"/>
      <c r="M97" s="25"/>
      <c r="N97" s="4"/>
    </row>
    <row r="98" spans="1:14" x14ac:dyDescent="0.2">
      <c r="A98" s="4"/>
      <c r="B98" s="4"/>
      <c r="C98" s="25"/>
      <c r="D98" s="25"/>
      <c r="E98" s="25"/>
      <c r="F98" s="25"/>
      <c r="G98" s="25"/>
      <c r="H98" s="25"/>
      <c r="I98" s="25"/>
      <c r="J98" s="25"/>
      <c r="K98" s="4"/>
      <c r="L98" s="25"/>
      <c r="M98" s="25"/>
      <c r="N98" s="4"/>
    </row>
    <row r="99" spans="1:14" x14ac:dyDescent="0.2">
      <c r="A99" s="4"/>
      <c r="B99" s="4"/>
      <c r="C99" s="25"/>
      <c r="D99" s="25"/>
      <c r="E99" s="25"/>
      <c r="F99" s="25"/>
      <c r="G99" s="25"/>
      <c r="H99" s="25"/>
      <c r="I99" s="25"/>
      <c r="J99" s="25"/>
      <c r="K99" s="4"/>
      <c r="L99" s="25"/>
      <c r="M99" s="25"/>
      <c r="N99" s="4"/>
    </row>
    <row r="100" spans="1:14" x14ac:dyDescent="0.2">
      <c r="A100" s="4"/>
      <c r="B100" s="4"/>
      <c r="C100" s="25"/>
      <c r="D100" s="25"/>
      <c r="E100" s="25"/>
      <c r="F100" s="25"/>
      <c r="G100" s="25"/>
      <c r="H100" s="25"/>
      <c r="I100" s="25"/>
      <c r="J100" s="25"/>
      <c r="K100" s="4"/>
      <c r="L100" s="25"/>
      <c r="M100" s="25"/>
      <c r="N100" s="4"/>
    </row>
    <row r="101" spans="1:14" x14ac:dyDescent="0.2">
      <c r="A101" s="4"/>
      <c r="B101" s="4"/>
      <c r="C101" s="25"/>
      <c r="D101" s="25"/>
      <c r="E101" s="25"/>
      <c r="F101" s="25"/>
      <c r="G101" s="25"/>
      <c r="H101" s="25"/>
      <c r="I101" s="25"/>
      <c r="J101" s="25"/>
      <c r="K101" s="4"/>
      <c r="L101" s="25"/>
      <c r="M101" s="25"/>
      <c r="N101" s="4"/>
    </row>
    <row r="102" spans="1:14" x14ac:dyDescent="0.2">
      <c r="A102" s="4"/>
      <c r="B102" s="4"/>
      <c r="C102" s="25"/>
      <c r="D102" s="25"/>
      <c r="E102" s="25"/>
      <c r="F102" s="25"/>
      <c r="G102" s="25"/>
      <c r="H102" s="25"/>
      <c r="I102" s="25"/>
      <c r="J102" s="25"/>
      <c r="K102" s="4"/>
      <c r="L102" s="25"/>
      <c r="M102" s="25"/>
      <c r="N102" s="4"/>
    </row>
    <row r="103" spans="1:14" x14ac:dyDescent="0.2">
      <c r="A103" s="4"/>
      <c r="B103" s="4"/>
      <c r="C103" s="25"/>
      <c r="D103" s="25"/>
      <c r="E103" s="25"/>
      <c r="F103" s="25"/>
      <c r="G103" s="25"/>
      <c r="H103" s="25"/>
      <c r="I103" s="25"/>
      <c r="J103" s="25"/>
      <c r="K103" s="4"/>
      <c r="L103" s="25"/>
      <c r="M103" s="25"/>
      <c r="N103" s="4"/>
    </row>
    <row r="104" spans="1:14" x14ac:dyDescent="0.2">
      <c r="A104" s="4"/>
      <c r="B104" s="4"/>
      <c r="C104" s="25"/>
      <c r="D104" s="25"/>
      <c r="E104" s="25"/>
      <c r="F104" s="25"/>
      <c r="G104" s="25"/>
      <c r="H104" s="25"/>
      <c r="I104" s="25"/>
      <c r="J104" s="25"/>
      <c r="K104" s="4"/>
      <c r="L104" s="25"/>
      <c r="M104" s="25"/>
      <c r="N104" s="4"/>
    </row>
    <row r="105" spans="1:14" x14ac:dyDescent="0.2">
      <c r="A105" s="4"/>
      <c r="B105" s="4"/>
      <c r="C105" s="25"/>
      <c r="D105" s="25"/>
      <c r="E105" s="25"/>
      <c r="F105" s="25"/>
      <c r="G105" s="25"/>
      <c r="H105" s="25"/>
      <c r="I105" s="25"/>
      <c r="J105" s="25"/>
      <c r="K105" s="4"/>
      <c r="L105" s="25"/>
      <c r="M105" s="25"/>
      <c r="N105" s="4"/>
    </row>
    <row r="106" spans="1:14" x14ac:dyDescent="0.2">
      <c r="A106" s="4"/>
      <c r="B106" s="4"/>
      <c r="C106" s="25"/>
      <c r="D106" s="25"/>
      <c r="E106" s="25"/>
      <c r="F106" s="25"/>
      <c r="G106" s="25"/>
      <c r="H106" s="25"/>
      <c r="I106" s="25"/>
      <c r="J106" s="25"/>
      <c r="K106" s="4"/>
      <c r="L106" s="25"/>
      <c r="M106" s="25"/>
      <c r="N106" s="4"/>
    </row>
    <row r="107" spans="1:14" x14ac:dyDescent="0.2">
      <c r="A107" s="4"/>
      <c r="B107" s="4"/>
      <c r="C107" s="25"/>
      <c r="D107" s="25"/>
      <c r="E107" s="25"/>
      <c r="F107" s="25"/>
      <c r="G107" s="25"/>
      <c r="H107" s="25"/>
      <c r="I107" s="25"/>
      <c r="J107" s="25"/>
      <c r="K107" s="4"/>
      <c r="L107" s="25"/>
      <c r="M107" s="25"/>
      <c r="N107" s="4"/>
    </row>
    <row r="108" spans="1:14" x14ac:dyDescent="0.2">
      <c r="A108" s="4"/>
      <c r="B108" s="4"/>
      <c r="C108" s="25"/>
      <c r="D108" s="25"/>
      <c r="E108" s="25"/>
      <c r="F108" s="25"/>
      <c r="G108" s="25"/>
      <c r="H108" s="25"/>
      <c r="I108" s="25"/>
      <c r="J108" s="25"/>
      <c r="K108" s="4"/>
      <c r="L108" s="25"/>
      <c r="M108" s="25"/>
      <c r="N108" s="4"/>
    </row>
    <row r="109" spans="1:14" x14ac:dyDescent="0.2">
      <c r="A109" s="4"/>
      <c r="B109" s="4"/>
      <c r="C109" s="25"/>
      <c r="D109" s="25"/>
      <c r="E109" s="25"/>
      <c r="F109" s="25"/>
      <c r="G109" s="25"/>
      <c r="H109" s="25"/>
      <c r="I109" s="25"/>
      <c r="J109" s="25"/>
      <c r="K109" s="4"/>
      <c r="L109" s="25"/>
      <c r="M109" s="25"/>
      <c r="N109" s="4"/>
    </row>
    <row r="110" spans="1:14" x14ac:dyDescent="0.2">
      <c r="A110" s="4"/>
      <c r="B110" s="4"/>
      <c r="C110" s="25"/>
      <c r="D110" s="25"/>
      <c r="E110" s="25"/>
      <c r="F110" s="25"/>
      <c r="G110" s="25"/>
      <c r="H110" s="25"/>
      <c r="I110" s="25"/>
      <c r="J110" s="25"/>
      <c r="K110" s="4"/>
      <c r="L110" s="25"/>
      <c r="M110" s="25"/>
      <c r="N110" s="4"/>
    </row>
    <row r="111" spans="1:14" x14ac:dyDescent="0.2">
      <c r="A111" s="4"/>
      <c r="B111" s="4"/>
      <c r="C111" s="25"/>
      <c r="D111" s="25"/>
      <c r="E111" s="25"/>
      <c r="F111" s="25"/>
      <c r="G111" s="25"/>
      <c r="H111" s="25"/>
      <c r="I111" s="25"/>
      <c r="J111" s="25"/>
      <c r="K111" s="4"/>
      <c r="L111" s="25"/>
      <c r="M111" s="25"/>
      <c r="N111" s="4"/>
    </row>
    <row r="112" spans="1:14" x14ac:dyDescent="0.2">
      <c r="A112" s="4"/>
      <c r="B112" s="4"/>
      <c r="C112" s="25"/>
      <c r="D112" s="25"/>
      <c r="E112" s="25"/>
      <c r="F112" s="25"/>
      <c r="G112" s="25"/>
      <c r="H112" s="25"/>
      <c r="I112" s="25"/>
      <c r="J112" s="25"/>
      <c r="K112" s="4"/>
      <c r="L112" s="25"/>
      <c r="M112" s="25"/>
      <c r="N112" s="4"/>
    </row>
    <row r="113" spans="1:14" x14ac:dyDescent="0.2">
      <c r="A113" s="4"/>
      <c r="B113" s="4"/>
      <c r="C113" s="25"/>
      <c r="D113" s="25"/>
      <c r="E113" s="25"/>
      <c r="F113" s="25"/>
      <c r="G113" s="25"/>
      <c r="H113" s="25"/>
      <c r="I113" s="25"/>
      <c r="J113" s="25"/>
      <c r="K113" s="4"/>
      <c r="L113" s="25"/>
      <c r="M113" s="25"/>
      <c r="N113" s="4"/>
    </row>
    <row r="114" spans="1:14" x14ac:dyDescent="0.2">
      <c r="A114" s="4"/>
      <c r="B114" s="4"/>
      <c r="C114" s="25"/>
      <c r="D114" s="25"/>
      <c r="E114" s="25"/>
      <c r="F114" s="25"/>
      <c r="G114" s="25"/>
      <c r="H114" s="25"/>
      <c r="I114" s="25"/>
      <c r="J114" s="25"/>
      <c r="K114" s="4"/>
      <c r="L114" s="25"/>
      <c r="M114" s="25"/>
      <c r="N114" s="4"/>
    </row>
    <row r="115" spans="1:14" x14ac:dyDescent="0.2">
      <c r="A115" s="4"/>
      <c r="B115" s="4"/>
      <c r="C115" s="25"/>
      <c r="D115" s="25"/>
      <c r="E115" s="25"/>
      <c r="F115" s="25"/>
      <c r="G115" s="25"/>
      <c r="H115" s="25"/>
      <c r="I115" s="25"/>
      <c r="J115" s="25"/>
      <c r="K115" s="4"/>
      <c r="L115" s="25"/>
      <c r="M115" s="25"/>
      <c r="N115" s="4"/>
    </row>
    <row r="116" spans="1:14" x14ac:dyDescent="0.2">
      <c r="A116" s="4"/>
      <c r="B116" s="4"/>
      <c r="C116" s="25"/>
      <c r="D116" s="25"/>
      <c r="E116" s="25"/>
      <c r="F116" s="25"/>
      <c r="G116" s="25"/>
      <c r="H116" s="25"/>
      <c r="I116" s="25"/>
      <c r="J116" s="25"/>
      <c r="K116" s="4"/>
      <c r="L116" s="25"/>
      <c r="M116" s="25"/>
      <c r="N116" s="4"/>
    </row>
    <row r="117" spans="1:14" x14ac:dyDescent="0.2">
      <c r="A117" s="4"/>
      <c r="B117" s="4"/>
      <c r="C117" s="25"/>
      <c r="D117" s="25"/>
      <c r="E117" s="25"/>
      <c r="F117" s="25"/>
      <c r="G117" s="25"/>
      <c r="H117" s="25"/>
      <c r="I117" s="25"/>
      <c r="J117" s="25"/>
      <c r="K117" s="4"/>
      <c r="L117" s="25"/>
      <c r="M117" s="25"/>
      <c r="N117" s="4"/>
    </row>
    <row r="118" spans="1:14" x14ac:dyDescent="0.2">
      <c r="A118" s="4"/>
      <c r="B118" s="4"/>
      <c r="C118" s="25"/>
      <c r="D118" s="25"/>
      <c r="E118" s="25"/>
      <c r="F118" s="25"/>
      <c r="G118" s="25"/>
      <c r="H118" s="25"/>
      <c r="I118" s="25"/>
      <c r="J118" s="25"/>
      <c r="K118" s="4"/>
      <c r="L118" s="25"/>
      <c r="M118" s="25"/>
      <c r="N118" s="4"/>
    </row>
    <row r="119" spans="1:14" x14ac:dyDescent="0.2">
      <c r="A119" s="4"/>
      <c r="B119" s="4"/>
      <c r="C119" s="25"/>
      <c r="D119" s="25"/>
      <c r="E119" s="25"/>
      <c r="F119" s="25"/>
      <c r="G119" s="25"/>
      <c r="H119" s="25"/>
      <c r="I119" s="25"/>
      <c r="J119" s="25"/>
      <c r="K119" s="4"/>
      <c r="L119" s="25"/>
      <c r="M119" s="25"/>
      <c r="N119" s="4"/>
    </row>
    <row r="120" spans="1:14" x14ac:dyDescent="0.2">
      <c r="A120" s="4"/>
      <c r="B120" s="4"/>
      <c r="C120" s="25"/>
      <c r="D120" s="25"/>
      <c r="E120" s="25"/>
      <c r="F120" s="25"/>
      <c r="G120" s="25"/>
      <c r="H120" s="25"/>
      <c r="I120" s="25"/>
      <c r="J120" s="25"/>
      <c r="K120" s="4"/>
      <c r="L120" s="25"/>
      <c r="M120" s="25"/>
      <c r="N120" s="4"/>
    </row>
    <row r="121" spans="1:14" x14ac:dyDescent="0.2">
      <c r="A121" s="4"/>
      <c r="B121" s="4"/>
      <c r="C121" s="25"/>
      <c r="D121" s="25"/>
      <c r="E121" s="25"/>
      <c r="F121" s="25"/>
      <c r="G121" s="25"/>
      <c r="H121" s="25"/>
      <c r="I121" s="25"/>
      <c r="J121" s="25"/>
      <c r="K121" s="4"/>
      <c r="L121" s="25"/>
      <c r="M121" s="25"/>
      <c r="N121" s="4"/>
    </row>
    <row r="122" spans="1:14" x14ac:dyDescent="0.2">
      <c r="A122" s="4"/>
      <c r="B122" s="4"/>
      <c r="C122" s="25"/>
      <c r="D122" s="25"/>
      <c r="E122" s="25"/>
      <c r="F122" s="25"/>
      <c r="G122" s="25"/>
      <c r="H122" s="25"/>
      <c r="I122" s="25"/>
      <c r="J122" s="25"/>
      <c r="K122" s="4"/>
      <c r="L122" s="25"/>
      <c r="M122" s="25"/>
      <c r="N122" s="4"/>
    </row>
    <row r="123" spans="1:14" x14ac:dyDescent="0.2">
      <c r="A123" s="4"/>
      <c r="B123" s="4"/>
      <c r="C123" s="25"/>
      <c r="D123" s="25"/>
      <c r="E123" s="25"/>
      <c r="F123" s="25"/>
      <c r="G123" s="25"/>
      <c r="H123" s="25"/>
      <c r="I123" s="25"/>
      <c r="J123" s="25"/>
      <c r="K123" s="4"/>
      <c r="L123" s="25"/>
      <c r="M123" s="25"/>
      <c r="N123" s="4"/>
    </row>
    <row r="124" spans="1:14" x14ac:dyDescent="0.2">
      <c r="C124" s="121"/>
    </row>
    <row r="125" spans="1:14" x14ac:dyDescent="0.2">
      <c r="C125" s="121"/>
    </row>
    <row r="126" spans="1:14" x14ac:dyDescent="0.2">
      <c r="C126" s="121"/>
    </row>
    <row r="127" spans="1:14" x14ac:dyDescent="0.2">
      <c r="C127" s="121"/>
    </row>
    <row r="128" spans="1:14"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sheetData>
  <phoneticPr fontId="0" type="noConversion"/>
  <hyperlinks>
    <hyperlink ref="A1" location="'Working Budget with funding det'!A1" display="Main "/>
    <hyperlink ref="B1" location="'Table of Contents'!A1" display="TOC"/>
  </hyperlinks>
  <pageMargins left="0.75" right="0.75" top="0.51" bottom="0.5" header="0.5" footer="0.5"/>
  <pageSetup scale="98" fitToHeight="0" orientation="landscape" horizontalDpi="300" verticalDpi="300" r:id="rId1"/>
  <headerFooter alignWithMargins="0">
    <oddFooter>&amp;L&amp;D     &amp;T&amp;C&amp;F&amp;R&amp;A</oddFooter>
  </headerFooter>
  <rowBreaks count="1" manualBreakCount="1">
    <brk id="30" max="11"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4"/>
  <sheetViews>
    <sheetView zoomScale="85" workbookViewId="0">
      <pane ySplit="7" topLeftCell="A8" activePane="bottomLeft" state="frozen"/>
      <selection activeCell="K15" sqref="K15"/>
      <selection pane="bottomLeft" activeCell="L14" sqref="L14"/>
    </sheetView>
  </sheetViews>
  <sheetFormatPr defaultRowHeight="12.75" x14ac:dyDescent="0.2"/>
  <cols>
    <col min="1" max="1" width="9.33203125" style="4"/>
    <col min="2" max="2" width="36.6640625" style="4" customWidth="1"/>
    <col min="3" max="7" width="14.5" style="25" hidden="1" customWidth="1"/>
    <col min="8" max="10" width="14.5" style="25" customWidth="1"/>
    <col min="11" max="11" width="14.5" style="4" customWidth="1"/>
    <col min="12" max="13" width="14.5" style="25" customWidth="1"/>
    <col min="14" max="16" width="14.5" customWidth="1"/>
    <col min="17" max="17" width="14.6640625" customWidth="1"/>
  </cols>
  <sheetData>
    <row r="1" spans="1:16" x14ac:dyDescent="0.2">
      <c r="A1" s="486" t="s">
        <v>1013</v>
      </c>
      <c r="B1" s="410" t="s">
        <v>1418</v>
      </c>
      <c r="C1" s="112"/>
      <c r="D1" s="112"/>
      <c r="E1" s="112"/>
      <c r="F1" s="112"/>
      <c r="G1" s="112"/>
      <c r="H1" s="112"/>
      <c r="I1" s="112"/>
      <c r="J1" s="112"/>
      <c r="K1" s="102"/>
      <c r="L1" s="112"/>
      <c r="M1" s="102"/>
    </row>
    <row r="2" spans="1:16" x14ac:dyDescent="0.2">
      <c r="A2" s="102" t="s">
        <v>264</v>
      </c>
      <c r="B2" s="102"/>
      <c r="C2" s="112"/>
      <c r="E2" s="112"/>
      <c r="H2" s="112" t="s">
        <v>252</v>
      </c>
      <c r="I2" s="112"/>
      <c r="J2" s="112"/>
      <c r="K2" s="439" t="s">
        <v>366</v>
      </c>
      <c r="L2" s="112"/>
      <c r="M2" s="440" t="s">
        <v>505</v>
      </c>
    </row>
    <row r="3" spans="1:16" ht="13.5" thickBot="1" x14ac:dyDescent="0.25">
      <c r="A3" s="102"/>
      <c r="B3" s="102"/>
      <c r="C3" s="112"/>
      <c r="D3" s="112"/>
      <c r="E3" s="112"/>
      <c r="F3" s="112"/>
      <c r="G3" s="112"/>
      <c r="H3" s="112"/>
      <c r="I3" s="112"/>
      <c r="J3" s="112"/>
      <c r="K3" s="102"/>
      <c r="L3" s="112"/>
      <c r="M3" s="102"/>
      <c r="P3" s="4"/>
    </row>
    <row r="4" spans="1:16" ht="13.5" thickTop="1" x14ac:dyDescent="0.2">
      <c r="A4" s="441"/>
      <c r="B4" s="808"/>
      <c r="C4" s="442" t="s">
        <v>122</v>
      </c>
      <c r="D4" s="442" t="s">
        <v>122</v>
      </c>
      <c r="E4" s="442" t="s">
        <v>122</v>
      </c>
      <c r="F4" s="442" t="s">
        <v>122</v>
      </c>
      <c r="G4" s="442" t="s">
        <v>122</v>
      </c>
      <c r="H4" s="444" t="s">
        <v>122</v>
      </c>
      <c r="I4" s="443" t="s">
        <v>122</v>
      </c>
      <c r="J4" s="443" t="s">
        <v>542</v>
      </c>
      <c r="K4" s="444" t="s">
        <v>489</v>
      </c>
      <c r="L4" s="369" t="s">
        <v>900</v>
      </c>
      <c r="M4" s="445" t="s">
        <v>900</v>
      </c>
    </row>
    <row r="5" spans="1:16" x14ac:dyDescent="0.2">
      <c r="A5" s="446"/>
      <c r="B5" s="809"/>
      <c r="C5" s="447"/>
      <c r="D5" s="447"/>
      <c r="E5" s="448"/>
      <c r="F5" s="447"/>
      <c r="G5" s="447"/>
      <c r="H5" s="448"/>
      <c r="I5" s="449"/>
      <c r="J5" s="449"/>
      <c r="K5" s="448" t="s">
        <v>509</v>
      </c>
      <c r="L5" s="370" t="s">
        <v>7</v>
      </c>
      <c r="M5" s="450" t="s">
        <v>783</v>
      </c>
    </row>
    <row r="6" spans="1:16" x14ac:dyDescent="0.2">
      <c r="A6" s="446"/>
      <c r="B6" s="809"/>
      <c r="C6" s="447"/>
      <c r="D6" s="447"/>
      <c r="E6" s="448"/>
      <c r="F6" s="447"/>
      <c r="G6" s="448"/>
      <c r="H6" s="448"/>
      <c r="I6" s="449"/>
      <c r="J6" s="449"/>
      <c r="K6" s="448"/>
      <c r="L6" s="370" t="s">
        <v>8</v>
      </c>
      <c r="M6" s="260" t="s">
        <v>537</v>
      </c>
    </row>
    <row r="7" spans="1:16" ht="13.5" thickBot="1" x14ac:dyDescent="0.25">
      <c r="A7" s="451" t="s">
        <v>123</v>
      </c>
      <c r="B7" s="810"/>
      <c r="C7" s="452" t="s">
        <v>334</v>
      </c>
      <c r="D7" s="452" t="s">
        <v>718</v>
      </c>
      <c r="E7" s="453" t="s">
        <v>734</v>
      </c>
      <c r="F7" s="371" t="s">
        <v>791</v>
      </c>
      <c r="G7" s="453" t="s">
        <v>881</v>
      </c>
      <c r="H7" s="453" t="s">
        <v>1010</v>
      </c>
      <c r="I7" s="453" t="s">
        <v>1072</v>
      </c>
      <c r="J7" s="453" t="s">
        <v>899</v>
      </c>
      <c r="K7" s="454">
        <v>43830</v>
      </c>
      <c r="L7" s="453" t="s">
        <v>9</v>
      </c>
      <c r="M7" s="371" t="s">
        <v>541</v>
      </c>
    </row>
    <row r="8" spans="1:16" ht="13.5" thickTop="1" x14ac:dyDescent="0.2">
      <c r="A8" s="455"/>
      <c r="B8" s="822"/>
      <c r="C8" s="458"/>
      <c r="D8" s="466"/>
      <c r="E8" s="456"/>
      <c r="F8" s="508"/>
      <c r="G8" s="456"/>
      <c r="H8" s="456"/>
      <c r="I8" s="457"/>
      <c r="J8" s="457"/>
      <c r="K8" s="458"/>
      <c r="L8" s="459"/>
      <c r="M8" s="459"/>
    </row>
    <row r="9" spans="1:16" x14ac:dyDescent="0.2">
      <c r="A9" s="275">
        <v>5171</v>
      </c>
      <c r="B9" s="250" t="s">
        <v>232</v>
      </c>
      <c r="C9" s="460">
        <v>64911</v>
      </c>
      <c r="D9" s="156">
        <v>74513</v>
      </c>
      <c r="E9" s="460">
        <v>74959</v>
      </c>
      <c r="F9" s="156">
        <v>88198</v>
      </c>
      <c r="G9" s="460">
        <v>88560</v>
      </c>
      <c r="H9" s="460">
        <v>77869</v>
      </c>
      <c r="I9" s="460">
        <v>80202</v>
      </c>
      <c r="J9" s="363">
        <v>93202</v>
      </c>
      <c r="K9" s="460">
        <v>93202</v>
      </c>
      <c r="L9" s="363">
        <v>85342</v>
      </c>
      <c r="M9" s="363"/>
    </row>
    <row r="10" spans="1:16" x14ac:dyDescent="0.2">
      <c r="A10" s="275">
        <v>5172</v>
      </c>
      <c r="B10" s="250" t="s">
        <v>233</v>
      </c>
      <c r="C10" s="460">
        <v>5852.95</v>
      </c>
      <c r="D10" s="136">
        <v>4536.74</v>
      </c>
      <c r="E10" s="461">
        <v>5986.32</v>
      </c>
      <c r="F10" s="136">
        <v>8374.77</v>
      </c>
      <c r="G10" s="461">
        <v>8425.42</v>
      </c>
      <c r="H10" s="461">
        <v>9162</v>
      </c>
      <c r="I10" s="461">
        <v>9590</v>
      </c>
      <c r="J10" s="364">
        <v>10000</v>
      </c>
      <c r="K10" s="460">
        <v>8027.74</v>
      </c>
      <c r="L10" s="364">
        <v>17000</v>
      </c>
      <c r="M10" s="364"/>
    </row>
    <row r="11" spans="1:16" x14ac:dyDescent="0.2">
      <c r="A11" s="275">
        <v>5173</v>
      </c>
      <c r="B11" s="250" t="s">
        <v>234</v>
      </c>
      <c r="C11" s="460"/>
      <c r="D11" s="136">
        <v>322</v>
      </c>
      <c r="E11" s="461"/>
      <c r="F11" s="136">
        <v>500.42</v>
      </c>
      <c r="G11" s="461"/>
      <c r="H11" s="461"/>
      <c r="I11" s="461">
        <v>0</v>
      </c>
      <c r="J11" s="364">
        <v>28000</v>
      </c>
      <c r="K11" s="460"/>
      <c r="L11" s="364">
        <v>28000</v>
      </c>
      <c r="M11" s="364"/>
    </row>
    <row r="12" spans="1:16" x14ac:dyDescent="0.2">
      <c r="A12" s="275">
        <v>5174</v>
      </c>
      <c r="B12" s="250" t="s">
        <v>235</v>
      </c>
      <c r="C12" s="460">
        <v>86130.559999999998</v>
      </c>
      <c r="D12" s="156">
        <v>75924.070000000007</v>
      </c>
      <c r="E12" s="460">
        <v>93076.36</v>
      </c>
      <c r="F12" s="156">
        <v>90104.19</v>
      </c>
      <c r="G12" s="460">
        <v>117708.89</v>
      </c>
      <c r="H12" s="460">
        <v>130930.22</v>
      </c>
      <c r="I12" s="460">
        <v>139043.88</v>
      </c>
      <c r="J12" s="363">
        <v>141000</v>
      </c>
      <c r="K12" s="460">
        <v>71718.59</v>
      </c>
      <c r="L12" s="363">
        <v>153912</v>
      </c>
      <c r="M12" s="363"/>
      <c r="N12" s="254"/>
    </row>
    <row r="13" spans="1:16" x14ac:dyDescent="0.2">
      <c r="A13" s="275">
        <v>5175</v>
      </c>
      <c r="B13" s="250" t="s">
        <v>236</v>
      </c>
      <c r="C13" s="460">
        <v>759.92</v>
      </c>
      <c r="D13" s="156">
        <v>630.28</v>
      </c>
      <c r="E13" s="460">
        <v>931.52</v>
      </c>
      <c r="F13" s="156">
        <v>852</v>
      </c>
      <c r="G13" s="460">
        <v>602.08000000000004</v>
      </c>
      <c r="H13" s="460">
        <v>727.04</v>
      </c>
      <c r="I13" s="460">
        <v>431.68</v>
      </c>
      <c r="J13" s="363">
        <v>1000</v>
      </c>
      <c r="K13" s="460">
        <v>541.29</v>
      </c>
      <c r="L13" s="363">
        <v>1000</v>
      </c>
      <c r="M13" s="363"/>
    </row>
    <row r="14" spans="1:16" ht="13.5" thickBot="1" x14ac:dyDescent="0.25">
      <c r="A14" s="275">
        <v>5176</v>
      </c>
      <c r="B14" s="250" t="s">
        <v>237</v>
      </c>
      <c r="C14" s="462">
        <v>4774.32</v>
      </c>
      <c r="D14" s="349">
        <v>4967.07</v>
      </c>
      <c r="E14" s="462">
        <v>6446.86</v>
      </c>
      <c r="F14" s="349">
        <v>6143.82</v>
      </c>
      <c r="G14" s="462">
        <v>5816.1</v>
      </c>
      <c r="H14" s="462">
        <v>5692.45</v>
      </c>
      <c r="I14" s="462">
        <v>5390.92</v>
      </c>
      <c r="J14" s="365">
        <v>6500</v>
      </c>
      <c r="K14" s="462">
        <v>3066.97</v>
      </c>
      <c r="L14" s="365">
        <v>6700</v>
      </c>
      <c r="M14" s="365"/>
    </row>
    <row r="15" spans="1:16" x14ac:dyDescent="0.2">
      <c r="A15" s="275"/>
      <c r="B15" s="823" t="s">
        <v>125</v>
      </c>
      <c r="C15" s="461">
        <f t="shared" ref="C15:L15" si="0">SUM(C9:C14)</f>
        <v>162428.75000000003</v>
      </c>
      <c r="D15" s="136">
        <f t="shared" si="0"/>
        <v>160893.16</v>
      </c>
      <c r="E15" s="461">
        <f t="shared" si="0"/>
        <v>181400.05999999997</v>
      </c>
      <c r="F15" s="136">
        <f>SUM(F9:F14)</f>
        <v>194173.2</v>
      </c>
      <c r="G15" s="461">
        <f>SUM(G9:G14)</f>
        <v>221112.49</v>
      </c>
      <c r="H15" s="461">
        <f>SUM(H9:H14)</f>
        <v>224380.71000000002</v>
      </c>
      <c r="I15" s="461">
        <f t="shared" si="0"/>
        <v>234658.48</v>
      </c>
      <c r="J15" s="364">
        <f t="shared" ref="J15" si="1">SUM(J9:J14)</f>
        <v>279702</v>
      </c>
      <c r="K15" s="461">
        <f t="shared" si="0"/>
        <v>176556.59000000003</v>
      </c>
      <c r="L15" s="364">
        <f t="shared" si="0"/>
        <v>291954</v>
      </c>
      <c r="M15" s="364">
        <f>SUM(M9:M14)</f>
        <v>0</v>
      </c>
    </row>
    <row r="16" spans="1:16" x14ac:dyDescent="0.2">
      <c r="A16" s="275"/>
      <c r="B16" s="250"/>
      <c r="C16" s="460"/>
      <c r="D16" s="156"/>
      <c r="E16" s="460"/>
      <c r="F16" s="156"/>
      <c r="G16" s="460"/>
      <c r="H16" s="460"/>
      <c r="I16" s="460"/>
      <c r="J16" s="363"/>
      <c r="K16" s="460"/>
      <c r="L16" s="363"/>
      <c r="M16" s="363"/>
    </row>
    <row r="17" spans="1:16" x14ac:dyDescent="0.2">
      <c r="A17" s="275"/>
      <c r="B17" s="250"/>
      <c r="C17" s="460"/>
      <c r="D17" s="156"/>
      <c r="E17" s="460"/>
      <c r="F17" s="156"/>
      <c r="G17" s="460"/>
      <c r="H17" s="460"/>
      <c r="I17" s="460"/>
      <c r="J17" s="363"/>
      <c r="K17" s="460"/>
      <c r="L17" s="363"/>
      <c r="M17" s="363"/>
    </row>
    <row r="18" spans="1:16" ht="13.5" thickBot="1" x14ac:dyDescent="0.25">
      <c r="A18" s="463"/>
      <c r="B18" s="824" t="s">
        <v>462</v>
      </c>
      <c r="C18" s="464">
        <f t="shared" ref="C18:L18" si="2">+C15</f>
        <v>162428.75000000003</v>
      </c>
      <c r="D18" s="352">
        <f t="shared" si="2"/>
        <v>160893.16</v>
      </c>
      <c r="E18" s="464">
        <f>+E15</f>
        <v>181400.05999999997</v>
      </c>
      <c r="F18" s="352">
        <f>+F15</f>
        <v>194173.2</v>
      </c>
      <c r="G18" s="464">
        <f>+G15</f>
        <v>221112.49</v>
      </c>
      <c r="H18" s="464">
        <f>+H15</f>
        <v>224380.71000000002</v>
      </c>
      <c r="I18" s="464">
        <f t="shared" si="2"/>
        <v>234658.48</v>
      </c>
      <c r="J18" s="465">
        <f t="shared" ref="J18" si="3">+J15</f>
        <v>279702</v>
      </c>
      <c r="K18" s="464">
        <f t="shared" si="2"/>
        <v>176556.59000000003</v>
      </c>
      <c r="L18" s="465">
        <f t="shared" si="2"/>
        <v>291954</v>
      </c>
      <c r="M18" s="465">
        <f>+L18</f>
        <v>291954</v>
      </c>
    </row>
    <row r="19" spans="1:16" ht="13.5" thickTop="1" x14ac:dyDescent="0.2">
      <c r="A19" s="28"/>
      <c r="B19" s="90"/>
      <c r="C19" s="26"/>
      <c r="D19" s="26"/>
      <c r="E19" s="26"/>
      <c r="F19" s="26"/>
      <c r="G19" s="26"/>
      <c r="H19" s="26"/>
      <c r="I19" s="26"/>
      <c r="J19" s="26"/>
      <c r="K19" s="27"/>
      <c r="L19" s="26"/>
      <c r="N19" s="27"/>
      <c r="O19" s="27"/>
      <c r="P19" s="27"/>
    </row>
    <row r="20" spans="1:16" s="101" customFormat="1" x14ac:dyDescent="0.2">
      <c r="A20" s="196"/>
      <c r="B20" s="4"/>
      <c r="C20" s="26"/>
      <c r="D20" s="26"/>
      <c r="E20" s="26"/>
      <c r="F20" s="26"/>
      <c r="G20" s="26"/>
      <c r="H20" s="26"/>
      <c r="I20" s="26"/>
      <c r="J20" s="26"/>
      <c r="K20" s="27"/>
      <c r="L20" s="26"/>
      <c r="M20" s="26"/>
      <c r="N20" s="27"/>
      <c r="O20" s="27"/>
      <c r="P20" s="27"/>
    </row>
    <row r="21" spans="1:16" s="101" customFormat="1" x14ac:dyDescent="0.2">
      <c r="A21" s="72">
        <v>43857</v>
      </c>
      <c r="B21" s="4" t="s">
        <v>1625</v>
      </c>
      <c r="C21" s="26"/>
      <c r="D21" s="26"/>
      <c r="E21" s="26"/>
      <c r="F21" s="26"/>
      <c r="G21" s="26"/>
      <c r="H21" s="26"/>
      <c r="I21" s="26"/>
      <c r="J21" s="26"/>
      <c r="K21" s="27"/>
      <c r="L21" s="26"/>
      <c r="M21" s="26"/>
      <c r="N21" s="27"/>
      <c r="O21" s="27"/>
      <c r="P21" s="27"/>
    </row>
    <row r="22" spans="1:16" s="101" customFormat="1" x14ac:dyDescent="0.2">
      <c r="A22" s="72">
        <v>43816</v>
      </c>
      <c r="B22" s="4" t="s">
        <v>1576</v>
      </c>
      <c r="C22" s="26"/>
      <c r="D22" s="26"/>
      <c r="E22" s="26"/>
      <c r="F22" s="26"/>
      <c r="G22" s="26"/>
      <c r="H22" s="26"/>
      <c r="I22" s="26"/>
      <c r="J22" s="26"/>
      <c r="K22" s="27"/>
      <c r="L22" s="26"/>
      <c r="M22" s="26"/>
      <c r="N22" s="27"/>
      <c r="O22" s="27"/>
      <c r="P22" s="27"/>
    </row>
    <row r="23" spans="1:16" ht="15.75" thickBot="1" x14ac:dyDescent="0.3">
      <c r="A23" s="489"/>
      <c r="C23" s="26"/>
      <c r="D23" s="26"/>
      <c r="E23" s="26"/>
      <c r="F23" s="26"/>
      <c r="G23" s="26"/>
      <c r="H23" s="26"/>
      <c r="I23" s="26"/>
      <c r="J23" s="26"/>
      <c r="K23" s="27"/>
      <c r="L23" s="26"/>
      <c r="M23" s="26"/>
      <c r="N23" s="27"/>
      <c r="O23" s="27"/>
      <c r="P23" s="27"/>
    </row>
    <row r="24" spans="1:16" ht="13.5" thickTop="1" x14ac:dyDescent="0.2">
      <c r="A24" s="517"/>
      <c r="B24" s="518"/>
      <c r="C24" s="519" t="s">
        <v>122</v>
      </c>
      <c r="D24" s="520" t="s">
        <v>122</v>
      </c>
      <c r="E24" s="519" t="s">
        <v>122</v>
      </c>
      <c r="H24" s="521" t="s">
        <v>542</v>
      </c>
      <c r="I24" s="522" t="s">
        <v>9</v>
      </c>
      <c r="J24" s="523" t="s">
        <v>1073</v>
      </c>
      <c r="K24" s="522" t="s">
        <v>682</v>
      </c>
      <c r="L24" s="524"/>
      <c r="M24" s="523"/>
      <c r="N24" s="29"/>
      <c r="O24" s="29"/>
      <c r="P24" s="29"/>
    </row>
    <row r="25" spans="1:16" ht="13.5" thickBot="1" x14ac:dyDescent="0.25">
      <c r="A25" s="525"/>
      <c r="B25" s="609"/>
      <c r="C25" s="610" t="s">
        <v>334</v>
      </c>
      <c r="D25" s="610" t="s">
        <v>718</v>
      </c>
      <c r="E25" s="593" t="s">
        <v>734</v>
      </c>
      <c r="H25" s="529" t="s">
        <v>899</v>
      </c>
      <c r="I25" s="529" t="s">
        <v>900</v>
      </c>
      <c r="J25" s="593" t="s">
        <v>1075</v>
      </c>
      <c r="K25" s="595" t="s">
        <v>1075</v>
      </c>
      <c r="L25" s="531" t="s">
        <v>1074</v>
      </c>
      <c r="M25" s="529"/>
      <c r="N25" s="27"/>
      <c r="O25" s="27"/>
      <c r="P25" s="27"/>
    </row>
    <row r="26" spans="1:16" ht="13.5" thickTop="1" x14ac:dyDescent="0.2">
      <c r="A26" s="557"/>
      <c r="B26" s="611"/>
      <c r="C26" s="599"/>
      <c r="D26" s="598"/>
      <c r="E26" s="598"/>
      <c r="H26" s="598"/>
      <c r="I26" s="598"/>
      <c r="J26" s="612"/>
      <c r="K26" s="599"/>
      <c r="L26" s="606"/>
      <c r="M26" s="607"/>
      <c r="N26" s="27"/>
      <c r="O26" s="27"/>
      <c r="P26" s="27"/>
    </row>
    <row r="27" spans="1:16" x14ac:dyDescent="0.2">
      <c r="A27" s="551">
        <v>5171</v>
      </c>
      <c r="B27" s="573" t="s">
        <v>232</v>
      </c>
      <c r="C27" s="544">
        <v>64911</v>
      </c>
      <c r="D27" s="544">
        <v>74513</v>
      </c>
      <c r="E27" s="544">
        <v>74959</v>
      </c>
      <c r="H27" s="543">
        <f>+J9</f>
        <v>93202</v>
      </c>
      <c r="I27" s="569">
        <f t="shared" ref="I27:I32" si="4">+L9</f>
        <v>85342</v>
      </c>
      <c r="J27" s="543">
        <f t="shared" ref="J27:J32" si="5">+I27-H27</f>
        <v>-7860</v>
      </c>
      <c r="K27" s="545">
        <f t="shared" ref="K27:K32" si="6">IF(H27+I27&lt;&gt;0,IF(H27&lt;&gt;0,IF(J27&lt;&gt;0,ROUND((+J27/H27),4),""),1),"")</f>
        <v>-8.43E-2</v>
      </c>
      <c r="L27" s="538" t="s">
        <v>1591</v>
      </c>
      <c r="M27" s="539"/>
      <c r="N27" s="27"/>
      <c r="O27" s="27"/>
      <c r="P27" s="27"/>
    </row>
    <row r="28" spans="1:16" x14ac:dyDescent="0.2">
      <c r="A28" s="551">
        <v>5172</v>
      </c>
      <c r="B28" s="573" t="s">
        <v>233</v>
      </c>
      <c r="C28" s="544">
        <v>5852.95</v>
      </c>
      <c r="D28" s="544">
        <v>4536.74</v>
      </c>
      <c r="E28" s="544">
        <v>5986.32</v>
      </c>
      <c r="H28" s="543">
        <f t="shared" ref="H28:H32" si="7">+J10</f>
        <v>10000</v>
      </c>
      <c r="I28" s="569">
        <f t="shared" si="4"/>
        <v>17000</v>
      </c>
      <c r="J28" s="543">
        <f t="shared" si="5"/>
        <v>7000</v>
      </c>
      <c r="K28" s="545">
        <f t="shared" si="6"/>
        <v>0.7</v>
      </c>
      <c r="L28" s="553" t="s">
        <v>1592</v>
      </c>
      <c r="M28" s="572"/>
      <c r="N28" s="27"/>
      <c r="O28" s="27"/>
      <c r="P28" s="27"/>
    </row>
    <row r="29" spans="1:16" x14ac:dyDescent="0.2">
      <c r="A29" s="551">
        <v>5173</v>
      </c>
      <c r="B29" s="573" t="s">
        <v>234</v>
      </c>
      <c r="C29" s="544"/>
      <c r="D29" s="544">
        <v>322</v>
      </c>
      <c r="E29" s="544"/>
      <c r="H29" s="543">
        <f t="shared" si="7"/>
        <v>28000</v>
      </c>
      <c r="I29" s="569">
        <f t="shared" si="4"/>
        <v>28000</v>
      </c>
      <c r="J29" s="543">
        <f t="shared" si="5"/>
        <v>0</v>
      </c>
      <c r="K29" s="545" t="str">
        <f t="shared" si="6"/>
        <v/>
      </c>
      <c r="L29" s="553"/>
      <c r="M29" s="572"/>
      <c r="N29" s="29"/>
      <c r="O29" s="29"/>
      <c r="P29" s="29"/>
    </row>
    <row r="30" spans="1:16" x14ac:dyDescent="0.2">
      <c r="A30" s="551">
        <v>5174</v>
      </c>
      <c r="B30" s="573" t="s">
        <v>235</v>
      </c>
      <c r="C30" s="544">
        <v>86130.559999999998</v>
      </c>
      <c r="D30" s="544">
        <v>75924.070000000007</v>
      </c>
      <c r="E30" s="544">
        <v>93076.36</v>
      </c>
      <c r="H30" s="543">
        <f t="shared" si="7"/>
        <v>141000</v>
      </c>
      <c r="I30" s="569">
        <f t="shared" si="4"/>
        <v>153912</v>
      </c>
      <c r="J30" s="543">
        <f t="shared" si="5"/>
        <v>12912</v>
      </c>
      <c r="K30" s="545">
        <f t="shared" si="6"/>
        <v>9.1600000000000001E-2</v>
      </c>
      <c r="L30" s="538" t="s">
        <v>1593</v>
      </c>
      <c r="M30" s="539"/>
      <c r="N30" s="29"/>
      <c r="O30" s="29"/>
      <c r="P30" s="29"/>
    </row>
    <row r="31" spans="1:16" x14ac:dyDescent="0.2">
      <c r="A31" s="551">
        <v>5175</v>
      </c>
      <c r="B31" s="573" t="s">
        <v>236</v>
      </c>
      <c r="C31" s="544">
        <v>759.92</v>
      </c>
      <c r="D31" s="544">
        <v>630.28</v>
      </c>
      <c r="E31" s="544">
        <v>931.52</v>
      </c>
      <c r="H31" s="543">
        <f t="shared" si="7"/>
        <v>1000</v>
      </c>
      <c r="I31" s="569">
        <f t="shared" si="4"/>
        <v>1000</v>
      </c>
      <c r="J31" s="543">
        <f t="shared" si="5"/>
        <v>0</v>
      </c>
      <c r="K31" s="545" t="str">
        <f t="shared" si="6"/>
        <v/>
      </c>
      <c r="L31" s="538"/>
      <c r="M31" s="539"/>
      <c r="N31" s="29"/>
      <c r="O31" s="29"/>
      <c r="P31" s="29"/>
    </row>
    <row r="32" spans="1:16" x14ac:dyDescent="0.2">
      <c r="A32" s="551">
        <v>5176</v>
      </c>
      <c r="B32" s="573" t="s">
        <v>237</v>
      </c>
      <c r="C32" s="544">
        <v>4774.32</v>
      </c>
      <c r="D32" s="544">
        <v>4967.07</v>
      </c>
      <c r="E32" s="544">
        <v>6446.86</v>
      </c>
      <c r="H32" s="543">
        <f t="shared" si="7"/>
        <v>6500</v>
      </c>
      <c r="I32" s="569">
        <f t="shared" si="4"/>
        <v>6700</v>
      </c>
      <c r="J32" s="543">
        <f t="shared" si="5"/>
        <v>200</v>
      </c>
      <c r="K32" s="545">
        <f t="shared" si="6"/>
        <v>3.0800000000000001E-2</v>
      </c>
      <c r="L32" s="538"/>
      <c r="M32" s="539"/>
      <c r="N32" s="29"/>
      <c r="O32" s="29"/>
      <c r="P32" s="29"/>
    </row>
    <row r="33" spans="1:16" x14ac:dyDescent="0.2">
      <c r="A33" s="551"/>
      <c r="B33" s="573"/>
      <c r="C33" s="544"/>
      <c r="D33" s="544"/>
      <c r="E33" s="544"/>
      <c r="H33" s="543"/>
      <c r="I33" s="569"/>
      <c r="J33" s="543"/>
      <c r="K33" s="544"/>
      <c r="L33" s="538"/>
      <c r="M33" s="539"/>
      <c r="N33" s="29"/>
      <c r="O33" s="29"/>
      <c r="P33" s="29"/>
    </row>
    <row r="34" spans="1:16" x14ac:dyDescent="0.2">
      <c r="K34" s="29"/>
      <c r="N34" s="29"/>
      <c r="O34" s="29"/>
      <c r="P34" s="29"/>
    </row>
    <row r="35" spans="1:16" x14ac:dyDescent="0.2">
      <c r="B35" s="4" t="s">
        <v>1600</v>
      </c>
      <c r="H35" s="849">
        <f>SUM(H27:H34)</f>
        <v>279702</v>
      </c>
      <c r="I35" s="849">
        <f>SUM(I27:I34)</f>
        <v>291954</v>
      </c>
      <c r="J35" s="208">
        <f t="shared" ref="J35" si="8">+I35-H35</f>
        <v>12252</v>
      </c>
      <c r="K35" s="850">
        <f t="shared" ref="K35" si="9">IF(H35+I35&lt;&gt;0,IF(H35&lt;&gt;0,IF(J35&lt;&gt;0,ROUND((+J35/H35),4),""),1),"")</f>
        <v>4.3799999999999999E-2</v>
      </c>
      <c r="N35" s="29"/>
      <c r="O35" s="29"/>
      <c r="P35" s="29"/>
    </row>
    <row r="36" spans="1:16" x14ac:dyDescent="0.2">
      <c r="K36" s="29"/>
      <c r="N36" s="29"/>
      <c r="O36" s="29"/>
      <c r="P36" s="29"/>
    </row>
    <row r="37" spans="1:16" x14ac:dyDescent="0.2">
      <c r="K37" s="29"/>
      <c r="N37" s="29"/>
      <c r="O37" s="29"/>
      <c r="P37" s="29"/>
    </row>
    <row r="38" spans="1:16" x14ac:dyDescent="0.2">
      <c r="K38" s="29"/>
      <c r="N38" s="29"/>
      <c r="O38" s="29"/>
      <c r="P38" s="29"/>
    </row>
    <row r="39" spans="1:16" x14ac:dyDescent="0.2">
      <c r="K39" s="29"/>
      <c r="N39" s="29"/>
      <c r="O39" s="29"/>
      <c r="P39" s="29"/>
    </row>
    <row r="40" spans="1:16" x14ac:dyDescent="0.2">
      <c r="K40" s="29"/>
      <c r="N40" s="29"/>
      <c r="O40" s="29"/>
      <c r="P40" s="29"/>
    </row>
    <row r="41" spans="1:16" x14ac:dyDescent="0.2">
      <c r="K41" s="29"/>
      <c r="N41" s="29"/>
      <c r="O41" s="29"/>
      <c r="P41" s="29"/>
    </row>
    <row r="42" spans="1:16" x14ac:dyDescent="0.2">
      <c r="K42" s="29"/>
      <c r="N42" s="29"/>
      <c r="O42" s="29"/>
      <c r="P42" s="29"/>
    </row>
    <row r="43" spans="1:16" x14ac:dyDescent="0.2">
      <c r="K43" s="29"/>
      <c r="N43" s="29"/>
      <c r="O43" s="29"/>
      <c r="P43" s="29"/>
    </row>
    <row r="44" spans="1:16" x14ac:dyDescent="0.2">
      <c r="K44" s="29"/>
      <c r="N44" s="29"/>
      <c r="O44" s="29"/>
      <c r="P44" s="29"/>
    </row>
    <row r="45" spans="1:16" x14ac:dyDescent="0.2">
      <c r="K45" s="29"/>
      <c r="N45" s="29"/>
      <c r="O45" s="29"/>
      <c r="P45" s="29"/>
    </row>
    <row r="46" spans="1:16" x14ac:dyDescent="0.2">
      <c r="K46" s="29"/>
      <c r="N46" s="29"/>
      <c r="O46" s="29"/>
      <c r="P46" s="29"/>
    </row>
    <row r="47" spans="1:16" x14ac:dyDescent="0.2">
      <c r="K47" s="29"/>
      <c r="N47" s="29"/>
      <c r="O47" s="29"/>
      <c r="P47" s="29"/>
    </row>
    <row r="48" spans="1:16" x14ac:dyDescent="0.2">
      <c r="K48" s="29"/>
      <c r="N48" s="29"/>
      <c r="O48" s="29"/>
      <c r="P48" s="29"/>
    </row>
    <row r="49" spans="11:16" x14ac:dyDescent="0.2">
      <c r="K49" s="29"/>
      <c r="N49" s="29"/>
      <c r="O49" s="29"/>
      <c r="P49" s="29"/>
    </row>
    <row r="50" spans="11:16" x14ac:dyDescent="0.2">
      <c r="K50" s="29"/>
      <c r="N50" s="29"/>
      <c r="O50" s="29"/>
      <c r="P50" s="29"/>
    </row>
    <row r="51" spans="11:16" x14ac:dyDescent="0.2">
      <c r="K51" s="29"/>
      <c r="N51" s="29"/>
      <c r="O51" s="29"/>
      <c r="P51" s="29"/>
    </row>
    <row r="52" spans="11:16" x14ac:dyDescent="0.2">
      <c r="K52" s="29"/>
      <c r="N52" s="29"/>
      <c r="O52" s="29"/>
      <c r="P52" s="29"/>
    </row>
    <row r="53" spans="11:16" x14ac:dyDescent="0.2">
      <c r="K53" s="29"/>
      <c r="N53" s="29"/>
      <c r="O53" s="29"/>
      <c r="P53" s="29"/>
    </row>
    <row r="54" spans="11:16" x14ac:dyDescent="0.2">
      <c r="K54" s="29"/>
      <c r="N54" s="29"/>
      <c r="O54" s="29"/>
      <c r="P54" s="29"/>
    </row>
    <row r="55" spans="11:16" x14ac:dyDescent="0.2">
      <c r="K55" s="29"/>
      <c r="N55" s="29"/>
      <c r="O55" s="29"/>
      <c r="P55" s="29"/>
    </row>
    <row r="56" spans="11:16" x14ac:dyDescent="0.2">
      <c r="K56" s="29"/>
      <c r="N56" s="29"/>
      <c r="O56" s="29"/>
      <c r="P56" s="29"/>
    </row>
    <row r="57" spans="11:16" x14ac:dyDescent="0.2">
      <c r="K57" s="29"/>
      <c r="N57" s="29"/>
      <c r="O57" s="29"/>
      <c r="P57" s="29"/>
    </row>
    <row r="58" spans="11:16" x14ac:dyDescent="0.2">
      <c r="K58" s="29"/>
      <c r="N58" s="29"/>
      <c r="O58" s="29"/>
      <c r="P58" s="29"/>
    </row>
    <row r="59" spans="11:16" x14ac:dyDescent="0.2">
      <c r="K59" s="29"/>
      <c r="N59" s="29"/>
      <c r="O59" s="29"/>
      <c r="P59" s="29"/>
    </row>
    <row r="60" spans="11:16" x14ac:dyDescent="0.2">
      <c r="K60" s="29"/>
      <c r="N60" s="29"/>
      <c r="O60" s="29"/>
      <c r="P60" s="29"/>
    </row>
    <row r="61" spans="11:16" x14ac:dyDescent="0.2">
      <c r="K61" s="29"/>
      <c r="N61" s="29"/>
      <c r="O61" s="29"/>
      <c r="P61" s="29"/>
    </row>
    <row r="62" spans="11:16" x14ac:dyDescent="0.2">
      <c r="K62" s="29"/>
      <c r="N62" s="29"/>
      <c r="O62" s="29"/>
      <c r="P62" s="29"/>
    </row>
    <row r="63" spans="11:16" x14ac:dyDescent="0.2">
      <c r="K63" s="29"/>
      <c r="N63" s="29"/>
      <c r="O63" s="29"/>
      <c r="P63" s="29"/>
    </row>
    <row r="64" spans="11:16" x14ac:dyDescent="0.2">
      <c r="K64" s="29"/>
      <c r="N64" s="29"/>
      <c r="O64" s="29"/>
      <c r="P64" s="29"/>
    </row>
    <row r="65" spans="11:16" x14ac:dyDescent="0.2">
      <c r="K65" s="29"/>
      <c r="N65" s="29"/>
      <c r="O65" s="29"/>
      <c r="P65" s="29"/>
    </row>
    <row r="66" spans="11:16" x14ac:dyDescent="0.2">
      <c r="K66" s="29"/>
      <c r="N66" s="29"/>
      <c r="O66" s="29"/>
      <c r="P66" s="29"/>
    </row>
    <row r="67" spans="11:16" x14ac:dyDescent="0.2">
      <c r="K67" s="29"/>
      <c r="N67" s="29"/>
      <c r="O67" s="29"/>
      <c r="P67" s="29"/>
    </row>
    <row r="68" spans="11:16" x14ac:dyDescent="0.2">
      <c r="K68" s="29"/>
      <c r="N68" s="29"/>
      <c r="O68" s="29"/>
      <c r="P68" s="29"/>
    </row>
    <row r="69" spans="11:16" x14ac:dyDescent="0.2">
      <c r="K69" s="29"/>
      <c r="N69" s="29"/>
      <c r="O69" s="29"/>
      <c r="P69" s="29"/>
    </row>
    <row r="70" spans="11:16" x14ac:dyDescent="0.2">
      <c r="K70" s="29"/>
      <c r="N70" s="29"/>
      <c r="O70" s="29"/>
      <c r="P70" s="29"/>
    </row>
    <row r="71" spans="11:16" x14ac:dyDescent="0.2">
      <c r="K71" s="29"/>
      <c r="N71" s="29"/>
      <c r="O71" s="29"/>
      <c r="P71" s="29"/>
    </row>
    <row r="72" spans="11:16" x14ac:dyDescent="0.2">
      <c r="K72" s="29"/>
      <c r="N72" s="29"/>
      <c r="O72" s="29"/>
      <c r="P72" s="29"/>
    </row>
    <row r="73" spans="11:16" x14ac:dyDescent="0.2">
      <c r="K73" s="29"/>
      <c r="N73" s="29"/>
      <c r="O73" s="29"/>
      <c r="P73" s="29"/>
    </row>
    <row r="74" spans="11:16" x14ac:dyDescent="0.2">
      <c r="K74" s="29"/>
      <c r="N74" s="29"/>
      <c r="O74" s="29"/>
      <c r="P74" s="29"/>
    </row>
    <row r="75" spans="11:16" x14ac:dyDescent="0.2">
      <c r="K75" s="29"/>
      <c r="N75" s="29"/>
      <c r="O75" s="29"/>
      <c r="P75" s="29"/>
    </row>
    <row r="76" spans="11:16" x14ac:dyDescent="0.2">
      <c r="K76" s="29"/>
      <c r="N76" s="29"/>
      <c r="O76" s="29"/>
      <c r="P76" s="29"/>
    </row>
    <row r="77" spans="11:16" x14ac:dyDescent="0.2">
      <c r="K77" s="29"/>
      <c r="N77" s="29"/>
      <c r="O77" s="29"/>
      <c r="P77" s="29"/>
    </row>
    <row r="78" spans="11:16" x14ac:dyDescent="0.2">
      <c r="K78" s="29"/>
      <c r="N78" s="29"/>
      <c r="O78" s="29"/>
      <c r="P78" s="29"/>
    </row>
    <row r="79" spans="11:16" x14ac:dyDescent="0.2">
      <c r="K79" s="29"/>
      <c r="N79" s="29"/>
      <c r="O79" s="29"/>
      <c r="P79" s="29"/>
    </row>
    <row r="80" spans="11:16" x14ac:dyDescent="0.2">
      <c r="K80" s="29"/>
      <c r="N80" s="29"/>
      <c r="O80" s="29"/>
      <c r="P80" s="29"/>
    </row>
    <row r="81" spans="11:16" x14ac:dyDescent="0.2">
      <c r="K81" s="29"/>
      <c r="N81" s="29"/>
      <c r="O81" s="29"/>
      <c r="P81" s="29"/>
    </row>
    <row r="82" spans="11:16" x14ac:dyDescent="0.2">
      <c r="N82" s="4"/>
      <c r="O82" s="4"/>
      <c r="P82" s="4"/>
    </row>
    <row r="83" spans="11:16" x14ac:dyDescent="0.2">
      <c r="N83" s="4"/>
      <c r="O83" s="4"/>
      <c r="P83" s="4"/>
    </row>
    <row r="84" spans="11:16" x14ac:dyDescent="0.2">
      <c r="N84" s="4"/>
      <c r="O84" s="4"/>
      <c r="P84" s="4"/>
    </row>
    <row r="85" spans="11:16" x14ac:dyDescent="0.2">
      <c r="N85" s="4"/>
      <c r="O85" s="4"/>
      <c r="P85" s="4"/>
    </row>
    <row r="86" spans="11:16" x14ac:dyDescent="0.2">
      <c r="N86" s="4"/>
      <c r="O86" s="4"/>
      <c r="P86" s="4"/>
    </row>
    <row r="87" spans="11:16" x14ac:dyDescent="0.2">
      <c r="N87" s="4"/>
      <c r="O87" s="4"/>
      <c r="P87" s="4"/>
    </row>
    <row r="88" spans="11:16" x14ac:dyDescent="0.2">
      <c r="N88" s="4"/>
      <c r="O88" s="4"/>
      <c r="P88" s="4"/>
    </row>
    <row r="89" spans="11:16" x14ac:dyDescent="0.2">
      <c r="N89" s="4"/>
      <c r="O89" s="4"/>
      <c r="P89" s="4"/>
    </row>
    <row r="90" spans="11:16" x14ac:dyDescent="0.2">
      <c r="N90" s="4"/>
      <c r="O90" s="4"/>
      <c r="P90" s="4"/>
    </row>
    <row r="91" spans="11:16" x14ac:dyDescent="0.2">
      <c r="N91" s="4"/>
      <c r="O91" s="4"/>
      <c r="P91" s="4"/>
    </row>
    <row r="92" spans="11:16" x14ac:dyDescent="0.2">
      <c r="N92" s="4"/>
      <c r="O92" s="4"/>
      <c r="P92" s="4"/>
    </row>
    <row r="93" spans="11:16" x14ac:dyDescent="0.2">
      <c r="N93" s="4"/>
      <c r="O93" s="4"/>
      <c r="P93" s="4"/>
    </row>
    <row r="94" spans="11:16" x14ac:dyDescent="0.2">
      <c r="N94" s="4"/>
      <c r="O94" s="4"/>
      <c r="P94" s="4"/>
    </row>
    <row r="95" spans="11:16" x14ac:dyDescent="0.2">
      <c r="N95" s="4"/>
      <c r="O95" s="4"/>
      <c r="P95" s="4"/>
    </row>
    <row r="96" spans="11:16" x14ac:dyDescent="0.2">
      <c r="N96" s="4"/>
      <c r="O96" s="4"/>
      <c r="P96" s="4"/>
    </row>
    <row r="97" spans="14:16" x14ac:dyDescent="0.2">
      <c r="N97" s="4"/>
      <c r="O97" s="4"/>
      <c r="P97" s="4"/>
    </row>
    <row r="98" spans="14:16" x14ac:dyDescent="0.2">
      <c r="N98" s="4"/>
      <c r="O98" s="4"/>
      <c r="P98" s="4"/>
    </row>
    <row r="99" spans="14:16" x14ac:dyDescent="0.2">
      <c r="N99" s="4"/>
      <c r="O99" s="4"/>
      <c r="P99" s="4"/>
    </row>
    <row r="100" spans="14:16" x14ac:dyDescent="0.2">
      <c r="N100" s="4"/>
      <c r="O100" s="4"/>
      <c r="P100" s="4"/>
    </row>
    <row r="101" spans="14:16" x14ac:dyDescent="0.2">
      <c r="N101" s="4"/>
      <c r="O101" s="4"/>
      <c r="P101" s="4"/>
    </row>
    <row r="102" spans="14:16" x14ac:dyDescent="0.2">
      <c r="N102" s="4"/>
      <c r="O102" s="4"/>
      <c r="P102" s="4"/>
    </row>
    <row r="103" spans="14:16" x14ac:dyDescent="0.2">
      <c r="N103" s="4"/>
      <c r="O103" s="4"/>
      <c r="P103" s="4"/>
    </row>
    <row r="104" spans="14:16" x14ac:dyDescent="0.2">
      <c r="N104" s="4"/>
      <c r="O104" s="4"/>
      <c r="P104" s="4"/>
    </row>
    <row r="105" spans="14:16" x14ac:dyDescent="0.2">
      <c r="N105" s="4"/>
      <c r="O105" s="4"/>
      <c r="P105" s="4"/>
    </row>
    <row r="106" spans="14:16" x14ac:dyDescent="0.2">
      <c r="N106" s="4"/>
      <c r="O106" s="4"/>
      <c r="P106" s="4"/>
    </row>
    <row r="107" spans="14:16" x14ac:dyDescent="0.2">
      <c r="N107" s="4"/>
      <c r="O107" s="4"/>
      <c r="P107" s="4"/>
    </row>
    <row r="108" spans="14:16" x14ac:dyDescent="0.2">
      <c r="N108" s="4"/>
      <c r="O108" s="4"/>
      <c r="P108" s="4"/>
    </row>
    <row r="109" spans="14:16" x14ac:dyDescent="0.2">
      <c r="N109" s="4"/>
      <c r="O109" s="4"/>
      <c r="P109" s="4"/>
    </row>
    <row r="110" spans="14:16" x14ac:dyDescent="0.2">
      <c r="N110" s="4"/>
      <c r="O110" s="4"/>
      <c r="P110" s="4"/>
    </row>
    <row r="111" spans="14:16" x14ac:dyDescent="0.2">
      <c r="N111" s="4"/>
      <c r="O111" s="4"/>
      <c r="P111" s="4"/>
    </row>
    <row r="112" spans="14:16" x14ac:dyDescent="0.2">
      <c r="N112" s="4"/>
      <c r="O112" s="4"/>
      <c r="P112" s="4"/>
    </row>
    <row r="113" spans="14:16" x14ac:dyDescent="0.2">
      <c r="N113" s="4"/>
      <c r="O113" s="4"/>
      <c r="P113" s="4"/>
    </row>
    <row r="114" spans="14:16" x14ac:dyDescent="0.2">
      <c r="N114" s="4"/>
      <c r="O114" s="4"/>
      <c r="P114" s="4"/>
    </row>
    <row r="115" spans="14:16" x14ac:dyDescent="0.2">
      <c r="N115" s="4"/>
      <c r="O115" s="4"/>
      <c r="P115" s="4"/>
    </row>
    <row r="116" spans="14:16" x14ac:dyDescent="0.2">
      <c r="N116" s="4"/>
      <c r="O116" s="4"/>
      <c r="P116" s="4"/>
    </row>
    <row r="117" spans="14:16" x14ac:dyDescent="0.2">
      <c r="N117" s="4"/>
      <c r="O117" s="4"/>
      <c r="P117" s="4"/>
    </row>
    <row r="118" spans="14:16" x14ac:dyDescent="0.2">
      <c r="N118" s="4"/>
      <c r="O118" s="4"/>
      <c r="P118" s="4"/>
    </row>
    <row r="119" spans="14:16" x14ac:dyDescent="0.2">
      <c r="N119" s="4"/>
      <c r="O119" s="4"/>
      <c r="P119" s="4"/>
    </row>
    <row r="120" spans="14:16" x14ac:dyDescent="0.2">
      <c r="N120" s="4"/>
      <c r="O120" s="4"/>
      <c r="P120" s="4"/>
    </row>
    <row r="121" spans="14:16" x14ac:dyDescent="0.2">
      <c r="N121" s="4"/>
      <c r="O121" s="4"/>
      <c r="P121" s="4"/>
    </row>
    <row r="122" spans="14:16" x14ac:dyDescent="0.2">
      <c r="N122" s="4"/>
      <c r="O122" s="4"/>
      <c r="P122" s="4"/>
    </row>
    <row r="123" spans="14:16" x14ac:dyDescent="0.2">
      <c r="N123" s="4"/>
      <c r="O123" s="4"/>
      <c r="P123" s="4"/>
    </row>
    <row r="124" spans="14:16" x14ac:dyDescent="0.2">
      <c r="N124" s="4"/>
      <c r="O124" s="4"/>
      <c r="P124" s="4"/>
    </row>
    <row r="125" spans="14:16" x14ac:dyDescent="0.2">
      <c r="N125" s="4"/>
      <c r="O125" s="4"/>
      <c r="P125" s="4"/>
    </row>
    <row r="126" spans="14:16" x14ac:dyDescent="0.2">
      <c r="N126" s="4"/>
      <c r="O126" s="4"/>
      <c r="P126" s="4"/>
    </row>
    <row r="127" spans="14:16" x14ac:dyDescent="0.2">
      <c r="N127" s="4"/>
      <c r="O127" s="4"/>
      <c r="P127" s="4"/>
    </row>
    <row r="128" spans="14:16" x14ac:dyDescent="0.2">
      <c r="N128" s="4"/>
      <c r="O128" s="4"/>
      <c r="P128" s="4"/>
    </row>
    <row r="129" spans="14:16" x14ac:dyDescent="0.2">
      <c r="N129" s="4"/>
      <c r="O129" s="4"/>
      <c r="P129" s="4"/>
    </row>
    <row r="130" spans="14:16" x14ac:dyDescent="0.2">
      <c r="N130" s="4"/>
      <c r="O130" s="4"/>
      <c r="P130" s="4"/>
    </row>
    <row r="131" spans="14:16" x14ac:dyDescent="0.2">
      <c r="N131" s="4"/>
      <c r="O131" s="4"/>
      <c r="P131" s="4"/>
    </row>
    <row r="132" spans="14:16" x14ac:dyDescent="0.2">
      <c r="N132" s="4"/>
      <c r="O132" s="4"/>
      <c r="P132" s="4"/>
    </row>
    <row r="133" spans="14:16" x14ac:dyDescent="0.2">
      <c r="N133" s="4"/>
      <c r="O133" s="4"/>
      <c r="P133" s="4"/>
    </row>
    <row r="134" spans="14:16" x14ac:dyDescent="0.2">
      <c r="N134" s="4"/>
      <c r="O134" s="4"/>
      <c r="P134" s="4"/>
    </row>
    <row r="135" spans="14:16" x14ac:dyDescent="0.2">
      <c r="N135" s="4"/>
      <c r="O135" s="4"/>
      <c r="P135" s="4"/>
    </row>
    <row r="136" spans="14:16" x14ac:dyDescent="0.2">
      <c r="N136" s="4"/>
      <c r="O136" s="4"/>
      <c r="P136" s="4"/>
    </row>
    <row r="137" spans="14:16" x14ac:dyDescent="0.2">
      <c r="N137" s="4"/>
      <c r="O137" s="4"/>
      <c r="P137" s="4"/>
    </row>
    <row r="138" spans="14:16" x14ac:dyDescent="0.2">
      <c r="N138" s="4"/>
      <c r="O138" s="4"/>
      <c r="P138" s="4"/>
    </row>
    <row r="139" spans="14:16" x14ac:dyDescent="0.2">
      <c r="N139" s="4"/>
      <c r="O139" s="4"/>
      <c r="P139" s="4"/>
    </row>
    <row r="140" spans="14:16" x14ac:dyDescent="0.2">
      <c r="N140" s="4"/>
      <c r="O140" s="4"/>
      <c r="P140" s="4"/>
    </row>
    <row r="141" spans="14:16" x14ac:dyDescent="0.2">
      <c r="N141" s="4"/>
      <c r="O141" s="4"/>
      <c r="P141" s="4"/>
    </row>
    <row r="142" spans="14:16" x14ac:dyDescent="0.2">
      <c r="N142" s="4"/>
      <c r="O142" s="4"/>
      <c r="P142" s="4"/>
    </row>
    <row r="143" spans="14:16" x14ac:dyDescent="0.2">
      <c r="N143" s="4"/>
      <c r="O143" s="4"/>
      <c r="P143" s="4"/>
    </row>
    <row r="144" spans="14:16" x14ac:dyDescent="0.2">
      <c r="N144" s="4"/>
      <c r="O144" s="4"/>
      <c r="P144" s="4"/>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horizontalDpi="300" verticalDpi="300" r:id="rId1"/>
  <headerFooter alignWithMargins="0">
    <oddFooter>&amp;L&amp;D     &amp;T&amp;C&amp;F&amp;R&amp;A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4"/>
  <sheetViews>
    <sheetView topLeftCell="A4" workbookViewId="0">
      <selection activeCell="G7" sqref="G7"/>
    </sheetView>
  </sheetViews>
  <sheetFormatPr defaultRowHeight="12.75" x14ac:dyDescent="0.2"/>
  <cols>
    <col min="1" max="1" width="10.5" bestFit="1" customWidth="1"/>
    <col min="2" max="2" width="33.6640625" customWidth="1"/>
    <col min="3" max="3" width="13.33203125" customWidth="1"/>
    <col min="5" max="5" width="17.5" customWidth="1"/>
    <col min="6" max="6" width="15.83203125" customWidth="1"/>
    <col min="7" max="7" width="20.6640625" customWidth="1"/>
    <col min="8" max="8" width="12.1640625" bestFit="1" customWidth="1"/>
    <col min="9" max="9" width="18.6640625" customWidth="1"/>
    <col min="10" max="10" width="14.1640625" customWidth="1"/>
    <col min="11" max="11" width="9.5" bestFit="1" customWidth="1"/>
  </cols>
  <sheetData>
    <row r="1" spans="1:11" x14ac:dyDescent="0.2">
      <c r="A1" s="410" t="s">
        <v>1418</v>
      </c>
      <c r="B1" t="s">
        <v>104</v>
      </c>
      <c r="E1" t="s">
        <v>609</v>
      </c>
    </row>
    <row r="3" spans="1:11" x14ac:dyDescent="0.2">
      <c r="A3" s="76" t="s">
        <v>605</v>
      </c>
      <c r="B3" s="76" t="s">
        <v>105</v>
      </c>
      <c r="C3" s="76" t="s">
        <v>106</v>
      </c>
      <c r="D3" s="76" t="s">
        <v>107</v>
      </c>
      <c r="E3" s="389" t="s">
        <v>1306</v>
      </c>
      <c r="F3" s="389" t="s">
        <v>1374</v>
      </c>
      <c r="G3" s="389" t="s">
        <v>1375</v>
      </c>
      <c r="H3" s="76" t="s">
        <v>109</v>
      </c>
      <c r="I3" s="389" t="s">
        <v>1376</v>
      </c>
    </row>
    <row r="4" spans="1:11" x14ac:dyDescent="0.2">
      <c r="A4" s="77" t="s">
        <v>580</v>
      </c>
      <c r="B4" s="77"/>
      <c r="C4" s="77"/>
      <c r="D4" s="77"/>
      <c r="E4" s="77" t="s">
        <v>326</v>
      </c>
      <c r="F4" s="77" t="s">
        <v>108</v>
      </c>
      <c r="G4" s="77" t="s">
        <v>326</v>
      </c>
      <c r="H4" s="77" t="s">
        <v>543</v>
      </c>
      <c r="I4" s="77" t="s">
        <v>326</v>
      </c>
    </row>
    <row r="5" spans="1:11" x14ac:dyDescent="0.2">
      <c r="A5" s="80">
        <v>30453</v>
      </c>
      <c r="B5" s="79" t="s">
        <v>606</v>
      </c>
      <c r="C5" s="80">
        <v>36404</v>
      </c>
      <c r="D5" s="79" t="s">
        <v>430</v>
      </c>
      <c r="E5" s="307">
        <v>35980</v>
      </c>
      <c r="F5" s="307"/>
      <c r="G5" s="307"/>
      <c r="H5" s="81"/>
      <c r="I5" s="81">
        <f>+G5-H5</f>
        <v>0</v>
      </c>
    </row>
    <row r="6" spans="1:11" x14ac:dyDescent="0.2">
      <c r="A6" s="79"/>
      <c r="B6" s="79"/>
      <c r="C6" s="80"/>
      <c r="D6" s="79"/>
      <c r="E6" s="307"/>
      <c r="F6" s="307"/>
      <c r="G6" s="307"/>
      <c r="H6" s="81"/>
      <c r="I6" s="81"/>
    </row>
    <row r="7" spans="1:11" x14ac:dyDescent="0.2">
      <c r="A7" s="80">
        <v>36913</v>
      </c>
      <c r="B7" s="79" t="s">
        <v>607</v>
      </c>
      <c r="C7" s="80">
        <v>38913</v>
      </c>
      <c r="D7" s="79" t="s">
        <v>430</v>
      </c>
      <c r="E7" s="496">
        <v>129002</v>
      </c>
      <c r="F7" s="307"/>
      <c r="G7" s="496">
        <v>123615</v>
      </c>
      <c r="H7" s="81"/>
      <c r="I7" s="81">
        <f t="shared" ref="I7:I21" si="0">+G7-H7</f>
        <v>123615</v>
      </c>
      <c r="J7" s="74"/>
      <c r="K7" s="74"/>
    </row>
    <row r="8" spans="1:11" x14ac:dyDescent="0.2">
      <c r="A8" s="80"/>
      <c r="B8" s="476" t="s">
        <v>1055</v>
      </c>
      <c r="C8" s="80"/>
      <c r="D8" s="79"/>
      <c r="E8" s="496">
        <v>64914</v>
      </c>
      <c r="F8" s="307"/>
      <c r="G8" s="496">
        <v>63276</v>
      </c>
      <c r="H8" s="81"/>
      <c r="I8" s="81">
        <f t="shared" si="0"/>
        <v>63276</v>
      </c>
      <c r="J8" s="74"/>
      <c r="K8" s="74"/>
    </row>
    <row r="9" spans="1:11" x14ac:dyDescent="0.2">
      <c r="A9" s="79"/>
      <c r="B9" s="79"/>
      <c r="C9" s="80"/>
      <c r="D9" s="79"/>
      <c r="E9" s="307"/>
      <c r="F9" s="307"/>
      <c r="G9" s="307"/>
      <c r="H9" s="81"/>
      <c r="I9" s="81"/>
      <c r="J9" s="74"/>
      <c r="K9" s="74"/>
    </row>
    <row r="10" spans="1:11" x14ac:dyDescent="0.2">
      <c r="A10" s="80">
        <v>38565</v>
      </c>
      <c r="B10" s="79" t="s">
        <v>393</v>
      </c>
      <c r="C10" s="80">
        <v>39065</v>
      </c>
      <c r="D10" s="79" t="s">
        <v>430</v>
      </c>
      <c r="E10" s="307">
        <v>23273</v>
      </c>
      <c r="F10" s="307"/>
      <c r="G10" s="613">
        <f>+'700 Debt '!L13+'700 Debt '!L35</f>
        <v>23596</v>
      </c>
      <c r="H10" s="81"/>
      <c r="I10" s="81">
        <f t="shared" si="0"/>
        <v>23596</v>
      </c>
    </row>
    <row r="11" spans="1:11" x14ac:dyDescent="0.2">
      <c r="A11" s="80">
        <v>38565</v>
      </c>
      <c r="B11" s="79" t="s">
        <v>390</v>
      </c>
      <c r="C11" s="80">
        <v>39434</v>
      </c>
      <c r="D11" s="79" t="s">
        <v>430</v>
      </c>
      <c r="E11" s="307">
        <v>35875</v>
      </c>
      <c r="F11" s="307"/>
      <c r="G11" s="613">
        <f>+'700 Debt '!L14+'700 Debt '!L37</f>
        <v>35874</v>
      </c>
      <c r="H11" s="81"/>
      <c r="I11" s="81">
        <f t="shared" si="0"/>
        <v>35874</v>
      </c>
    </row>
    <row r="12" spans="1:11" x14ac:dyDescent="0.2">
      <c r="A12" s="80">
        <v>38565</v>
      </c>
      <c r="B12" s="79" t="s">
        <v>391</v>
      </c>
      <c r="C12" s="80">
        <v>39402</v>
      </c>
      <c r="D12" s="79" t="s">
        <v>430</v>
      </c>
      <c r="E12" s="307">
        <v>22303</v>
      </c>
      <c r="F12" s="307"/>
      <c r="G12" s="613">
        <f>+'700 Debt '!L15+'700 Debt '!L39</f>
        <v>18765</v>
      </c>
      <c r="H12" s="81"/>
      <c r="I12" s="81">
        <f t="shared" si="0"/>
        <v>18765</v>
      </c>
    </row>
    <row r="13" spans="1:11" x14ac:dyDescent="0.2">
      <c r="A13" s="80">
        <v>38565</v>
      </c>
      <c r="B13" s="79" t="s">
        <v>392</v>
      </c>
      <c r="C13" s="80">
        <v>39835</v>
      </c>
      <c r="D13" s="79" t="s">
        <v>430</v>
      </c>
      <c r="E13" s="307">
        <v>20620</v>
      </c>
      <c r="F13" s="307"/>
      <c r="G13" s="613">
        <f>+'700 Debt '!L16+'700 Debt '!L40</f>
        <v>20621</v>
      </c>
      <c r="H13" s="193"/>
      <c r="I13" s="81">
        <f t="shared" si="0"/>
        <v>20621</v>
      </c>
    </row>
    <row r="14" spans="1:11" x14ac:dyDescent="0.2">
      <c r="A14" s="79"/>
      <c r="B14" s="79"/>
      <c r="C14" s="80"/>
      <c r="D14" s="79"/>
      <c r="E14" s="307"/>
      <c r="F14" s="307"/>
      <c r="G14" s="307"/>
      <c r="H14" s="193"/>
      <c r="I14" s="81"/>
    </row>
    <row r="15" spans="1:11" x14ac:dyDescent="0.2">
      <c r="A15" s="80">
        <v>39392</v>
      </c>
      <c r="B15" s="79" t="s">
        <v>608</v>
      </c>
      <c r="C15" s="80">
        <v>40141</v>
      </c>
      <c r="D15" s="79" t="s">
        <v>430</v>
      </c>
      <c r="E15" s="307">
        <v>395000</v>
      </c>
      <c r="F15" s="307"/>
      <c r="G15" s="613">
        <f>+'700 Debt '!L12+'700 Debt '!L34</f>
        <v>360392</v>
      </c>
      <c r="H15" s="474"/>
      <c r="I15" s="81">
        <f t="shared" si="0"/>
        <v>360392</v>
      </c>
    </row>
    <row r="16" spans="1:11" x14ac:dyDescent="0.2">
      <c r="A16" s="79"/>
      <c r="B16" s="476" t="s">
        <v>1054</v>
      </c>
      <c r="C16" s="79"/>
      <c r="D16" s="79"/>
      <c r="E16" s="307">
        <v>7675</v>
      </c>
      <c r="F16" s="307"/>
      <c r="G16" s="307">
        <f>+'700 Debt '!L43+'700 Debt '!L20</f>
        <v>7525</v>
      </c>
      <c r="H16" s="81"/>
      <c r="I16" s="81">
        <f t="shared" si="0"/>
        <v>7525</v>
      </c>
    </row>
    <row r="17" spans="1:10" x14ac:dyDescent="0.2">
      <c r="A17" s="79"/>
      <c r="B17" s="476"/>
      <c r="C17" s="79"/>
      <c r="D17" s="79"/>
      <c r="E17" s="307"/>
      <c r="F17" s="307"/>
      <c r="G17" s="307"/>
      <c r="H17" s="81"/>
      <c r="I17" s="81"/>
    </row>
    <row r="18" spans="1:10" x14ac:dyDescent="0.2">
      <c r="A18" s="80">
        <v>43241</v>
      </c>
      <c r="B18" s="476" t="s">
        <v>1208</v>
      </c>
      <c r="C18" s="79"/>
      <c r="D18" s="79" t="s">
        <v>430</v>
      </c>
      <c r="E18" s="307">
        <v>150970</v>
      </c>
      <c r="F18" s="307"/>
      <c r="G18" s="307">
        <f>+'700 Debt '!L26+'700 Debt '!L49</f>
        <v>148284</v>
      </c>
      <c r="H18" s="81"/>
      <c r="I18" s="81">
        <f t="shared" si="0"/>
        <v>148284</v>
      </c>
    </row>
    <row r="19" spans="1:10" x14ac:dyDescent="0.2">
      <c r="A19" s="80">
        <v>43241</v>
      </c>
      <c r="B19" s="476" t="s">
        <v>1208</v>
      </c>
      <c r="C19" s="79"/>
      <c r="D19" s="79" t="s">
        <v>430</v>
      </c>
      <c r="E19" s="307"/>
      <c r="F19" s="307"/>
      <c r="G19" s="307">
        <f>+'700 Debt '!L27+'700 Debt '!L50</f>
        <v>323107</v>
      </c>
      <c r="H19" s="81"/>
      <c r="I19" s="81">
        <f t="shared" si="0"/>
        <v>323107</v>
      </c>
    </row>
    <row r="20" spans="1:10" x14ac:dyDescent="0.2">
      <c r="A20" s="79"/>
      <c r="B20" s="476"/>
      <c r="C20" s="79"/>
      <c r="D20" s="79"/>
      <c r="E20" s="307"/>
      <c r="F20" s="307"/>
      <c r="G20" s="307"/>
      <c r="H20" s="81"/>
      <c r="I20" s="81"/>
    </row>
    <row r="21" spans="1:10" x14ac:dyDescent="0.2">
      <c r="A21" s="79">
        <v>2016</v>
      </c>
      <c r="B21" s="476" t="s">
        <v>1302</v>
      </c>
      <c r="C21" s="79"/>
      <c r="D21" s="79" t="s">
        <v>1184</v>
      </c>
      <c r="E21" s="307"/>
      <c r="F21" s="307"/>
      <c r="G21" s="307">
        <f>+'700 Debt '!L48+'700 Debt '!L25</f>
        <v>40138</v>
      </c>
      <c r="H21" s="81"/>
      <c r="I21" s="81">
        <f t="shared" si="0"/>
        <v>40138</v>
      </c>
    </row>
    <row r="22" spans="1:10" x14ac:dyDescent="0.2">
      <c r="A22" s="79"/>
      <c r="B22" s="69"/>
      <c r="C22" s="79"/>
      <c r="D22" s="79"/>
      <c r="E22" s="79"/>
      <c r="F22" s="79"/>
      <c r="G22" s="79"/>
      <c r="H22" s="79"/>
      <c r="I22" s="79"/>
    </row>
    <row r="24" spans="1:10" x14ac:dyDescent="0.2">
      <c r="A24" s="197">
        <v>43783</v>
      </c>
      <c r="B24" s="254" t="s">
        <v>1483</v>
      </c>
      <c r="E24" s="74">
        <f>SUM(E5:E23)</f>
        <v>885612</v>
      </c>
      <c r="G24" s="74">
        <f>SUM(G5:G23)</f>
        <v>1165193</v>
      </c>
      <c r="I24" s="74">
        <f>SUM(I5:I23)</f>
        <v>1165193</v>
      </c>
    </row>
    <row r="25" spans="1:10" x14ac:dyDescent="0.2">
      <c r="B25" s="254"/>
    </row>
    <row r="26" spans="1:10" x14ac:dyDescent="0.2">
      <c r="B26" s="376"/>
    </row>
    <row r="27" spans="1:10" x14ac:dyDescent="0.2">
      <c r="C27" t="s">
        <v>549</v>
      </c>
      <c r="E27" s="74">
        <f>+E5+E10+E11+E12+E13+E15+E16+E18+E21+E19</f>
        <v>691696</v>
      </c>
      <c r="G27" s="74">
        <f>+G5+G10+G11+G12+G13+G15+G16+G18+G21+G19</f>
        <v>978302</v>
      </c>
      <c r="I27" s="74">
        <f>+I5+I10+I11+I12+I13+I15+I16+I18+I21+I19</f>
        <v>978302</v>
      </c>
      <c r="J27" s="74"/>
    </row>
    <row r="28" spans="1:10" x14ac:dyDescent="0.2">
      <c r="C28" t="s">
        <v>330</v>
      </c>
      <c r="E28" s="74">
        <f>+E7+E8</f>
        <v>193916</v>
      </c>
      <c r="G28" s="74">
        <f>+G7+G8</f>
        <v>186891</v>
      </c>
      <c r="I28" s="74">
        <f>+I7+I8</f>
        <v>186891</v>
      </c>
      <c r="J28" s="74"/>
    </row>
    <row r="29" spans="1:10" x14ac:dyDescent="0.2">
      <c r="C29" t="s">
        <v>431</v>
      </c>
      <c r="E29" s="74">
        <f>SUM(E27:E28)</f>
        <v>885612</v>
      </c>
      <c r="G29" s="74">
        <f>SUM(G27:G28)</f>
        <v>1165193</v>
      </c>
      <c r="I29" s="74">
        <f>SUM(I27:I28)</f>
        <v>1165193</v>
      </c>
      <c r="J29" s="74"/>
    </row>
    <row r="30" spans="1:10" x14ac:dyDescent="0.2">
      <c r="G30" s="74"/>
    </row>
    <row r="31" spans="1:10" x14ac:dyDescent="0.2">
      <c r="A31" s="185"/>
      <c r="C31" t="s">
        <v>1056</v>
      </c>
      <c r="E31" s="74">
        <f>+E29-E24</f>
        <v>0</v>
      </c>
      <c r="G31" s="74">
        <f>+G29-G24</f>
        <v>0</v>
      </c>
      <c r="I31" s="74">
        <f>+I29-I24</f>
        <v>0</v>
      </c>
    </row>
    <row r="32" spans="1:10" x14ac:dyDescent="0.2">
      <c r="A32" s="197"/>
      <c r="B32" s="185"/>
    </row>
    <row r="33" spans="1:2" x14ac:dyDescent="0.2">
      <c r="A33" s="197"/>
    </row>
    <row r="34" spans="1:2" x14ac:dyDescent="0.2">
      <c r="B34" s="197"/>
    </row>
  </sheetData>
  <phoneticPr fontId="0" type="noConversion"/>
  <hyperlinks>
    <hyperlink ref="A1" location="'Table of Contents'!A1" display="TOC"/>
  </hyperlinks>
  <pageMargins left="0.75" right="0.75" top="1" bottom="1" header="0.5" footer="0.5"/>
  <pageSetup scale="89" orientation="landscape" horizontalDpi="300" verticalDpi="300" r:id="rId1"/>
  <headerFooter alignWithMargins="0">
    <oddFooter xml:space="preserve">&amp;L&amp;D  &amp;T&amp;C&amp;F&amp;R&amp;A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02"/>
  <sheetViews>
    <sheetView workbookViewId="0">
      <selection activeCell="I2" sqref="I2"/>
    </sheetView>
  </sheetViews>
  <sheetFormatPr defaultRowHeight="12.75" x14ac:dyDescent="0.2"/>
  <sheetData>
    <row r="1" spans="1:9" ht="18.75" x14ac:dyDescent="0.3">
      <c r="A1" s="881" t="s">
        <v>708</v>
      </c>
      <c r="B1" s="881"/>
      <c r="C1" s="881"/>
      <c r="D1" s="881"/>
      <c r="E1" s="881"/>
      <c r="F1" s="881"/>
      <c r="G1" s="881"/>
      <c r="H1" s="881"/>
      <c r="I1" s="881"/>
    </row>
    <row r="2" spans="1:9" ht="15.75" x14ac:dyDescent="0.25">
      <c r="A2" s="883" t="s">
        <v>1325</v>
      </c>
      <c r="B2" s="883"/>
      <c r="C2" s="883"/>
      <c r="D2" s="883"/>
      <c r="E2" s="883"/>
      <c r="F2" s="883"/>
      <c r="G2" s="883"/>
      <c r="H2" s="883"/>
      <c r="I2" s="410" t="s">
        <v>1418</v>
      </c>
    </row>
    <row r="3" spans="1:9" ht="18.75" x14ac:dyDescent="0.3">
      <c r="A3" s="382" t="s">
        <v>1326</v>
      </c>
      <c r="B3" s="194"/>
      <c r="C3" s="194"/>
      <c r="D3" s="194"/>
      <c r="E3" s="194"/>
      <c r="F3" s="194"/>
      <c r="G3" s="194"/>
      <c r="H3" s="194"/>
      <c r="I3" s="790"/>
    </row>
    <row r="4" spans="1:9" ht="18.75" x14ac:dyDescent="0.3">
      <c r="A4" s="283" t="s">
        <v>33</v>
      </c>
      <c r="B4" s="148"/>
      <c r="C4" s="148"/>
      <c r="D4" s="148"/>
      <c r="E4" s="148"/>
      <c r="F4" s="148"/>
      <c r="G4" s="148"/>
      <c r="H4" s="148"/>
      <c r="I4" s="791"/>
    </row>
    <row r="5" spans="1:9" ht="18.75" x14ac:dyDescent="0.3">
      <c r="A5" s="198" t="s">
        <v>739</v>
      </c>
      <c r="B5" s="284">
        <v>1</v>
      </c>
      <c r="C5" s="284">
        <v>2</v>
      </c>
      <c r="D5" s="284">
        <v>3</v>
      </c>
      <c r="E5" s="284">
        <v>4</v>
      </c>
      <c r="F5" s="284">
        <v>5</v>
      </c>
      <c r="G5" s="284">
        <v>6</v>
      </c>
      <c r="H5" s="284">
        <v>7</v>
      </c>
      <c r="I5" s="791"/>
    </row>
    <row r="6" spans="1:9" ht="14.25" x14ac:dyDescent="0.2">
      <c r="A6" s="198" t="s">
        <v>740</v>
      </c>
      <c r="B6" s="286">
        <f>ROUND((+B16*1),2)</f>
        <v>22.95</v>
      </c>
      <c r="C6" s="286">
        <f t="shared" ref="C6:H6" si="0">ROUND((+C16*1),2)</f>
        <v>23.86</v>
      </c>
      <c r="D6" s="286">
        <f t="shared" si="0"/>
        <v>24.82</v>
      </c>
      <c r="E6" s="286">
        <f t="shared" si="0"/>
        <v>25.82</v>
      </c>
      <c r="F6" s="286">
        <f t="shared" si="0"/>
        <v>26.85</v>
      </c>
      <c r="G6" s="286">
        <f t="shared" si="0"/>
        <v>27.93</v>
      </c>
      <c r="H6" s="286">
        <f t="shared" si="0"/>
        <v>29.03</v>
      </c>
      <c r="I6" s="788">
        <f>ROUND((+H6*1.04),2)</f>
        <v>30.19</v>
      </c>
    </row>
    <row r="7" spans="1:9" ht="14.25" x14ac:dyDescent="0.2">
      <c r="A7" s="198" t="s">
        <v>623</v>
      </c>
      <c r="B7" s="286">
        <f>ROUND((+B17*1),2)</f>
        <v>24.87</v>
      </c>
      <c r="C7" s="286">
        <f t="shared" ref="C7:H7" si="1">ROUND((+C17*1),2)</f>
        <v>25.87</v>
      </c>
      <c r="D7" s="286">
        <f t="shared" si="1"/>
        <v>26.9</v>
      </c>
      <c r="E7" s="286">
        <f t="shared" si="1"/>
        <v>27.98</v>
      </c>
      <c r="F7" s="286">
        <f t="shared" si="1"/>
        <v>29.09</v>
      </c>
      <c r="G7" s="286">
        <f t="shared" si="1"/>
        <v>30.26</v>
      </c>
      <c r="H7" s="286">
        <f t="shared" si="1"/>
        <v>31.48</v>
      </c>
      <c r="I7" s="788">
        <f>ROUND((+H7*1.04),2)</f>
        <v>32.74</v>
      </c>
    </row>
    <row r="8" spans="1:9" ht="14.25" x14ac:dyDescent="0.2">
      <c r="A8" s="198" t="s">
        <v>739</v>
      </c>
      <c r="B8" s="286"/>
      <c r="C8" s="286"/>
      <c r="D8" s="286"/>
      <c r="E8" s="281">
        <v>1</v>
      </c>
      <c r="F8" s="281">
        <v>2</v>
      </c>
      <c r="G8" s="281">
        <v>3</v>
      </c>
      <c r="H8" s="281">
        <v>4</v>
      </c>
      <c r="I8" s="282">
        <v>5</v>
      </c>
    </row>
    <row r="9" spans="1:9" ht="14.25" x14ac:dyDescent="0.2">
      <c r="A9" s="199" t="s">
        <v>622</v>
      </c>
      <c r="B9" s="288"/>
      <c r="C9" s="288"/>
      <c r="D9" s="288"/>
      <c r="E9" s="288"/>
      <c r="F9" s="288">
        <f t="shared" ref="F9:H9" si="2">ROUND((+F19*1),2)</f>
        <v>31.05</v>
      </c>
      <c r="G9" s="288">
        <f t="shared" si="2"/>
        <v>32.29</v>
      </c>
      <c r="H9" s="288">
        <f t="shared" si="2"/>
        <v>33.57</v>
      </c>
      <c r="I9" s="789">
        <f>ROUND((+H9*1.04),2)</f>
        <v>34.909999999999997</v>
      </c>
    </row>
    <row r="10" spans="1:9" ht="14.25" x14ac:dyDescent="0.2">
      <c r="A10" s="148" t="s">
        <v>621</v>
      </c>
      <c r="B10" s="286"/>
      <c r="C10" s="286"/>
      <c r="D10" s="286"/>
      <c r="E10" s="286"/>
      <c r="F10" s="286">
        <f t="shared" ref="F10:H10" si="3">ROUND((+F20*1),2)</f>
        <v>34.46</v>
      </c>
      <c r="G10" s="286">
        <f t="shared" si="3"/>
        <v>35.85</v>
      </c>
      <c r="H10" s="286">
        <f t="shared" si="3"/>
        <v>37.28</v>
      </c>
      <c r="I10" s="789">
        <f>ROUND((+H10*1.04),2)</f>
        <v>38.770000000000003</v>
      </c>
    </row>
    <row r="11" spans="1:9" ht="18.75" x14ac:dyDescent="0.3">
      <c r="A11" s="778"/>
      <c r="B11" s="778"/>
      <c r="C11" s="778"/>
      <c r="D11" s="778"/>
      <c r="E11" s="778"/>
      <c r="F11" s="778"/>
      <c r="G11" s="778"/>
      <c r="H11" s="778"/>
      <c r="I11" s="778"/>
    </row>
    <row r="12" spans="1:9" ht="18.75" x14ac:dyDescent="0.3">
      <c r="A12" s="882" t="s">
        <v>1224</v>
      </c>
      <c r="B12" s="882"/>
      <c r="C12" s="882"/>
      <c r="D12" s="882"/>
      <c r="E12" s="882"/>
      <c r="F12" s="882"/>
      <c r="G12" s="882"/>
      <c r="H12" s="882"/>
      <c r="I12" s="495"/>
    </row>
    <row r="13" spans="1:9" ht="18.75" x14ac:dyDescent="0.3">
      <c r="A13" s="382" t="s">
        <v>1327</v>
      </c>
      <c r="B13" s="194"/>
      <c r="C13" s="194"/>
      <c r="D13" s="194"/>
      <c r="E13" s="194"/>
      <c r="F13" s="194"/>
      <c r="G13" s="194"/>
      <c r="H13" s="207"/>
      <c r="I13" s="495"/>
    </row>
    <row r="14" spans="1:9" ht="18.75" x14ac:dyDescent="0.3">
      <c r="A14" s="283" t="s">
        <v>33</v>
      </c>
      <c r="B14" s="148"/>
      <c r="C14" s="148"/>
      <c r="D14" s="148"/>
      <c r="E14" s="148"/>
      <c r="F14" s="148"/>
      <c r="G14" s="148"/>
      <c r="H14" s="280"/>
      <c r="I14" s="495"/>
    </row>
    <row r="15" spans="1:9" ht="18.75" x14ac:dyDescent="0.3">
      <c r="A15" s="198" t="s">
        <v>739</v>
      </c>
      <c r="B15" s="284">
        <v>1</v>
      </c>
      <c r="C15" s="284">
        <v>2</v>
      </c>
      <c r="D15" s="284">
        <v>3</v>
      </c>
      <c r="E15" s="284">
        <v>4</v>
      </c>
      <c r="F15" s="284">
        <v>5</v>
      </c>
      <c r="G15" s="284">
        <v>6</v>
      </c>
      <c r="H15" s="285">
        <v>7</v>
      </c>
      <c r="I15" s="495"/>
    </row>
    <row r="16" spans="1:9" ht="18.75" x14ac:dyDescent="0.3">
      <c r="A16" s="198" t="s">
        <v>740</v>
      </c>
      <c r="B16" s="286">
        <f>ROUND((+B26*1.015),2)</f>
        <v>22.95</v>
      </c>
      <c r="C16" s="286">
        <f t="shared" ref="C16:H16" si="4">ROUND((+C26*1.015),2)</f>
        <v>23.86</v>
      </c>
      <c r="D16" s="286">
        <f t="shared" si="4"/>
        <v>24.82</v>
      </c>
      <c r="E16" s="286">
        <f t="shared" si="4"/>
        <v>25.82</v>
      </c>
      <c r="F16" s="286">
        <f t="shared" si="4"/>
        <v>26.85</v>
      </c>
      <c r="G16" s="286">
        <f t="shared" si="4"/>
        <v>27.93</v>
      </c>
      <c r="H16" s="287">
        <f t="shared" si="4"/>
        <v>29.03</v>
      </c>
      <c r="I16" s="495"/>
    </row>
    <row r="17" spans="1:9" ht="18.75" x14ac:dyDescent="0.3">
      <c r="A17" s="198" t="s">
        <v>623</v>
      </c>
      <c r="B17" s="286">
        <f>ROUND((+B27*1.015),2)</f>
        <v>24.87</v>
      </c>
      <c r="C17" s="286">
        <f t="shared" ref="C17:H17" si="5">ROUND((+C27*1.015),2)</f>
        <v>25.87</v>
      </c>
      <c r="D17" s="286">
        <f t="shared" si="5"/>
        <v>26.9</v>
      </c>
      <c r="E17" s="286">
        <f t="shared" si="5"/>
        <v>27.98</v>
      </c>
      <c r="F17" s="286">
        <f t="shared" si="5"/>
        <v>29.09</v>
      </c>
      <c r="G17" s="286">
        <f t="shared" si="5"/>
        <v>30.26</v>
      </c>
      <c r="H17" s="287">
        <f t="shared" si="5"/>
        <v>31.48</v>
      </c>
      <c r="I17" s="495"/>
    </row>
    <row r="18" spans="1:9" ht="18.75" x14ac:dyDescent="0.3">
      <c r="A18" s="198" t="s">
        <v>739</v>
      </c>
      <c r="B18" s="286"/>
      <c r="C18" s="286"/>
      <c r="D18" s="286"/>
      <c r="E18" s="281">
        <v>1</v>
      </c>
      <c r="F18" s="281">
        <v>2</v>
      </c>
      <c r="G18" s="281">
        <v>3</v>
      </c>
      <c r="H18" s="282">
        <v>4</v>
      </c>
      <c r="I18" s="495"/>
    </row>
    <row r="19" spans="1:9" ht="18.75" x14ac:dyDescent="0.3">
      <c r="A19" s="198" t="s">
        <v>622</v>
      </c>
      <c r="B19" s="286"/>
      <c r="C19" s="286"/>
      <c r="D19" s="286"/>
      <c r="E19" s="286">
        <f t="shared" ref="E19:H19" si="6">ROUND((+E29*1.015),2)</f>
        <v>29.84</v>
      </c>
      <c r="F19" s="286">
        <f t="shared" si="6"/>
        <v>31.05</v>
      </c>
      <c r="G19" s="286">
        <f t="shared" si="6"/>
        <v>32.29</v>
      </c>
      <c r="H19" s="287">
        <f t="shared" si="6"/>
        <v>33.57</v>
      </c>
      <c r="I19" s="495"/>
    </row>
    <row r="20" spans="1:9" ht="18.75" x14ac:dyDescent="0.3">
      <c r="A20" s="199" t="s">
        <v>621</v>
      </c>
      <c r="B20" s="288"/>
      <c r="C20" s="288"/>
      <c r="D20" s="288"/>
      <c r="E20" s="288">
        <f t="shared" ref="E20:H20" si="7">ROUND((+E30*1.015),2)</f>
        <v>33.14</v>
      </c>
      <c r="F20" s="288">
        <f t="shared" si="7"/>
        <v>34.46</v>
      </c>
      <c r="G20" s="288">
        <f t="shared" si="7"/>
        <v>35.85</v>
      </c>
      <c r="H20" s="289">
        <f t="shared" si="7"/>
        <v>37.28</v>
      </c>
      <c r="I20" s="495"/>
    </row>
    <row r="21" spans="1:9" ht="18.75" x14ac:dyDescent="0.3">
      <c r="A21" s="495"/>
      <c r="B21" s="495"/>
      <c r="C21" s="495"/>
      <c r="D21" s="495"/>
      <c r="E21" s="495"/>
      <c r="F21" s="495"/>
      <c r="G21" s="495"/>
      <c r="H21" s="495"/>
      <c r="I21" s="495"/>
    </row>
    <row r="22" spans="1:9" ht="18.75" x14ac:dyDescent="0.3">
      <c r="A22" s="882" t="s">
        <v>1195</v>
      </c>
      <c r="B22" s="882"/>
      <c r="C22" s="882"/>
      <c r="D22" s="882"/>
      <c r="E22" s="882"/>
      <c r="F22" s="882"/>
      <c r="G22" s="882"/>
      <c r="H22" s="882"/>
      <c r="I22" s="725"/>
    </row>
    <row r="23" spans="1:9" ht="18.75" x14ac:dyDescent="0.3">
      <c r="A23" s="382" t="s">
        <v>1196</v>
      </c>
      <c r="B23" s="194"/>
      <c r="C23" s="194"/>
      <c r="D23" s="194"/>
      <c r="E23" s="194"/>
      <c r="F23" s="194"/>
      <c r="G23" s="194"/>
      <c r="H23" s="207"/>
      <c r="I23" s="725"/>
    </row>
    <row r="24" spans="1:9" ht="18.75" x14ac:dyDescent="0.3">
      <c r="A24" s="283" t="s">
        <v>33</v>
      </c>
      <c r="B24" s="148"/>
      <c r="C24" s="148"/>
      <c r="D24" s="148"/>
      <c r="E24" s="148"/>
      <c r="F24" s="148"/>
      <c r="G24" s="148"/>
      <c r="H24" s="280"/>
      <c r="I24" s="725"/>
    </row>
    <row r="25" spans="1:9" ht="18.75" x14ac:dyDescent="0.3">
      <c r="A25" s="198" t="s">
        <v>739</v>
      </c>
      <c r="B25" s="284">
        <v>1</v>
      </c>
      <c r="C25" s="284">
        <v>2</v>
      </c>
      <c r="D25" s="284">
        <v>3</v>
      </c>
      <c r="E25" s="284">
        <v>4</v>
      </c>
      <c r="F25" s="284">
        <v>5</v>
      </c>
      <c r="G25" s="284">
        <v>6</v>
      </c>
      <c r="H25" s="285">
        <v>7</v>
      </c>
      <c r="I25" s="725"/>
    </row>
    <row r="26" spans="1:9" ht="18.75" x14ac:dyDescent="0.3">
      <c r="A26" s="198" t="s">
        <v>740</v>
      </c>
      <c r="B26" s="286">
        <f>ROUND((+B36*1.02),2)</f>
        <v>22.61</v>
      </c>
      <c r="C26" s="286">
        <v>23.51</v>
      </c>
      <c r="D26" s="286">
        <f t="shared" ref="D26:H26" si="8">ROUND((+D36*1.02),2)</f>
        <v>24.45</v>
      </c>
      <c r="E26" s="286">
        <v>25.44</v>
      </c>
      <c r="F26" s="286">
        <f t="shared" si="8"/>
        <v>26.45</v>
      </c>
      <c r="G26" s="286">
        <v>27.52</v>
      </c>
      <c r="H26" s="287">
        <f t="shared" si="8"/>
        <v>28.6</v>
      </c>
      <c r="I26" s="725"/>
    </row>
    <row r="27" spans="1:9" ht="18.75" x14ac:dyDescent="0.3">
      <c r="A27" s="198" t="s">
        <v>623</v>
      </c>
      <c r="B27" s="286">
        <f>ROUND((+B37*1.02),2)</f>
        <v>24.5</v>
      </c>
      <c r="C27" s="286">
        <v>25.49</v>
      </c>
      <c r="D27" s="286">
        <f t="shared" ref="D27:H27" si="9">ROUND((+D37*1.02),2)</f>
        <v>26.5</v>
      </c>
      <c r="E27" s="286">
        <v>27.57</v>
      </c>
      <c r="F27" s="286">
        <f t="shared" si="9"/>
        <v>28.66</v>
      </c>
      <c r="G27" s="286">
        <f t="shared" si="9"/>
        <v>29.81</v>
      </c>
      <c r="H27" s="287">
        <f t="shared" si="9"/>
        <v>31.01</v>
      </c>
      <c r="I27" s="725"/>
    </row>
    <row r="28" spans="1:9" ht="18.75" x14ac:dyDescent="0.3">
      <c r="A28" s="198" t="s">
        <v>739</v>
      </c>
      <c r="B28" s="286"/>
      <c r="C28" s="286"/>
      <c r="D28" s="286"/>
      <c r="E28" s="281">
        <v>1</v>
      </c>
      <c r="F28" s="281">
        <v>2</v>
      </c>
      <c r="G28" s="281">
        <v>3</v>
      </c>
      <c r="H28" s="282">
        <v>4</v>
      </c>
      <c r="I28" s="725"/>
    </row>
    <row r="29" spans="1:9" ht="18.75" x14ac:dyDescent="0.3">
      <c r="A29" s="198" t="s">
        <v>622</v>
      </c>
      <c r="B29" s="286"/>
      <c r="C29" s="286"/>
      <c r="D29" s="286"/>
      <c r="E29" s="286">
        <f t="shared" ref="E29:H30" si="10">ROUND((+E39*1.02),2)</f>
        <v>29.4</v>
      </c>
      <c r="F29" s="286">
        <f t="shared" si="10"/>
        <v>30.59</v>
      </c>
      <c r="G29" s="286">
        <f t="shared" si="10"/>
        <v>31.81</v>
      </c>
      <c r="H29" s="287">
        <f t="shared" si="10"/>
        <v>33.07</v>
      </c>
      <c r="I29" s="725"/>
    </row>
    <row r="30" spans="1:9" ht="18.75" x14ac:dyDescent="0.3">
      <c r="A30" s="199" t="s">
        <v>621</v>
      </c>
      <c r="B30" s="288"/>
      <c r="C30" s="288"/>
      <c r="D30" s="288"/>
      <c r="E30" s="288">
        <f t="shared" si="10"/>
        <v>32.65</v>
      </c>
      <c r="F30" s="288">
        <v>33.950000000000003</v>
      </c>
      <c r="G30" s="288">
        <v>35.32</v>
      </c>
      <c r="H30" s="289">
        <f t="shared" si="10"/>
        <v>36.729999999999997</v>
      </c>
      <c r="I30" s="725"/>
    </row>
    <row r="31" spans="1:9" ht="18.75" x14ac:dyDescent="0.3">
      <c r="A31" s="725"/>
      <c r="B31" s="725"/>
      <c r="C31" s="725"/>
      <c r="D31" s="725"/>
      <c r="E31" s="725"/>
      <c r="F31" s="725"/>
      <c r="G31" s="725"/>
      <c r="H31" s="725"/>
      <c r="I31" s="725"/>
    </row>
    <row r="32" spans="1:9" ht="18.75" x14ac:dyDescent="0.3">
      <c r="A32" s="882" t="s">
        <v>1193</v>
      </c>
      <c r="B32" s="882"/>
      <c r="C32" s="882"/>
      <c r="D32" s="882"/>
      <c r="E32" s="882"/>
      <c r="F32" s="882"/>
      <c r="G32" s="882"/>
      <c r="H32" s="882"/>
      <c r="I32" s="681"/>
    </row>
    <row r="33" spans="1:9" ht="18.75" x14ac:dyDescent="0.3">
      <c r="A33" s="382" t="s">
        <v>1194</v>
      </c>
      <c r="B33" s="194"/>
      <c r="C33" s="194"/>
      <c r="D33" s="194"/>
      <c r="E33" s="194"/>
      <c r="F33" s="194"/>
      <c r="G33" s="194"/>
      <c r="H33" s="207"/>
      <c r="I33" s="681"/>
    </row>
    <row r="34" spans="1:9" ht="18.75" x14ac:dyDescent="0.3">
      <c r="A34" s="283" t="s">
        <v>33</v>
      </c>
      <c r="B34" s="148"/>
      <c r="C34" s="148"/>
      <c r="D34" s="148"/>
      <c r="E34" s="148"/>
      <c r="F34" s="148"/>
      <c r="G34" s="148"/>
      <c r="H34" s="280"/>
      <c r="I34" s="681"/>
    </row>
    <row r="35" spans="1:9" ht="18.75" x14ac:dyDescent="0.3">
      <c r="A35" s="198" t="s">
        <v>739</v>
      </c>
      <c r="B35" s="284">
        <v>1</v>
      </c>
      <c r="C35" s="284">
        <v>2</v>
      </c>
      <c r="D35" s="284">
        <v>3</v>
      </c>
      <c r="E35" s="284">
        <v>4</v>
      </c>
      <c r="F35" s="284">
        <v>5</v>
      </c>
      <c r="G35" s="284">
        <v>6</v>
      </c>
      <c r="H35" s="285">
        <v>7</v>
      </c>
      <c r="I35" s="681"/>
    </row>
    <row r="36" spans="1:9" ht="18.75" x14ac:dyDescent="0.3">
      <c r="A36" s="198" t="s">
        <v>740</v>
      </c>
      <c r="B36" s="286">
        <f>ROUND((+B46*1.005),2)</f>
        <v>22.17</v>
      </c>
      <c r="C36" s="286">
        <f t="shared" ref="C36:H36" si="11">ROUND((+C46*1.005),2)</f>
        <v>23.04</v>
      </c>
      <c r="D36" s="286">
        <f t="shared" si="11"/>
        <v>23.97</v>
      </c>
      <c r="E36" s="286">
        <f t="shared" si="11"/>
        <v>24.93</v>
      </c>
      <c r="F36" s="286">
        <f t="shared" si="11"/>
        <v>25.93</v>
      </c>
      <c r="G36" s="286">
        <f t="shared" si="11"/>
        <v>26.97</v>
      </c>
      <c r="H36" s="287">
        <f t="shared" si="11"/>
        <v>28.04</v>
      </c>
      <c r="I36" s="681"/>
    </row>
    <row r="37" spans="1:9" ht="18.75" x14ac:dyDescent="0.3">
      <c r="A37" s="198" t="s">
        <v>623</v>
      </c>
      <c r="B37" s="286">
        <f t="shared" ref="B37:H37" si="12">ROUND((+B47*1.005),2)</f>
        <v>24.02</v>
      </c>
      <c r="C37" s="286">
        <f t="shared" si="12"/>
        <v>24.98</v>
      </c>
      <c r="D37" s="286">
        <f t="shared" si="12"/>
        <v>25.98</v>
      </c>
      <c r="E37" s="286">
        <f t="shared" si="12"/>
        <v>27.02</v>
      </c>
      <c r="F37" s="286">
        <f t="shared" si="12"/>
        <v>28.1</v>
      </c>
      <c r="G37" s="286">
        <f t="shared" si="12"/>
        <v>29.23</v>
      </c>
      <c r="H37" s="287">
        <f t="shared" si="12"/>
        <v>30.4</v>
      </c>
      <c r="I37" s="681"/>
    </row>
    <row r="38" spans="1:9" ht="18.75" x14ac:dyDescent="0.3">
      <c r="A38" s="198" t="s">
        <v>739</v>
      </c>
      <c r="B38" s="286"/>
      <c r="C38" s="286"/>
      <c r="D38" s="286"/>
      <c r="E38" s="281">
        <v>1</v>
      </c>
      <c r="F38" s="281">
        <v>2</v>
      </c>
      <c r="G38" s="281">
        <v>3</v>
      </c>
      <c r="H38" s="282">
        <v>4</v>
      </c>
      <c r="I38" s="681"/>
    </row>
    <row r="39" spans="1:9" ht="18.75" x14ac:dyDescent="0.3">
      <c r="A39" s="198" t="s">
        <v>622</v>
      </c>
      <c r="B39" s="286"/>
      <c r="C39" s="286"/>
      <c r="D39" s="286"/>
      <c r="E39" s="286">
        <f t="shared" ref="E39:H40" si="13">ROUND((+E49*1.005),2)</f>
        <v>28.82</v>
      </c>
      <c r="F39" s="286">
        <f t="shared" si="13"/>
        <v>29.99</v>
      </c>
      <c r="G39" s="286">
        <f t="shared" si="13"/>
        <v>31.19</v>
      </c>
      <c r="H39" s="287">
        <f t="shared" si="13"/>
        <v>32.42</v>
      </c>
      <c r="I39" s="681"/>
    </row>
    <row r="40" spans="1:9" ht="18.75" x14ac:dyDescent="0.3">
      <c r="A40" s="199" t="s">
        <v>621</v>
      </c>
      <c r="B40" s="288"/>
      <c r="C40" s="288"/>
      <c r="D40" s="288"/>
      <c r="E40" s="288">
        <f t="shared" si="13"/>
        <v>32.01</v>
      </c>
      <c r="F40" s="288">
        <f t="shared" si="13"/>
        <v>33.29</v>
      </c>
      <c r="G40" s="288">
        <f t="shared" si="13"/>
        <v>34.619999999999997</v>
      </c>
      <c r="H40" s="289">
        <f t="shared" si="13"/>
        <v>36.01</v>
      </c>
      <c r="I40" s="681"/>
    </row>
    <row r="41" spans="1:9" ht="18.75" x14ac:dyDescent="0.3">
      <c r="A41" s="682"/>
      <c r="B41" s="288"/>
      <c r="C41" s="288"/>
      <c r="D41" s="288"/>
      <c r="E41" s="288"/>
      <c r="F41" s="288"/>
      <c r="G41" s="288"/>
      <c r="H41" s="288"/>
      <c r="I41" s="681"/>
    </row>
    <row r="42" spans="1:9" ht="18.75" x14ac:dyDescent="0.3">
      <c r="A42" s="882" t="s">
        <v>1005</v>
      </c>
      <c r="B42" s="882"/>
      <c r="C42" s="882"/>
      <c r="D42" s="882"/>
      <c r="E42" s="882"/>
      <c r="F42" s="882"/>
      <c r="G42" s="882"/>
      <c r="H42" s="882"/>
      <c r="I42" s="384"/>
    </row>
    <row r="43" spans="1:9" ht="18.75" x14ac:dyDescent="0.3">
      <c r="A43" s="382" t="s">
        <v>1079</v>
      </c>
      <c r="B43" s="194"/>
      <c r="C43" s="194"/>
      <c r="D43" s="194"/>
      <c r="E43" s="194"/>
      <c r="F43" s="194"/>
      <c r="G43" s="194"/>
      <c r="H43" s="207"/>
      <c r="I43" s="472"/>
    </row>
    <row r="44" spans="1:9" ht="18.75" x14ac:dyDescent="0.3">
      <c r="A44" s="283" t="s">
        <v>33</v>
      </c>
      <c r="B44" s="148"/>
      <c r="C44" s="148"/>
      <c r="D44" s="148"/>
      <c r="E44" s="148"/>
      <c r="F44" s="148"/>
      <c r="G44" s="148"/>
      <c r="H44" s="280"/>
      <c r="I44" s="472"/>
    </row>
    <row r="45" spans="1:9" ht="18.75" x14ac:dyDescent="0.3">
      <c r="A45" s="198" t="s">
        <v>739</v>
      </c>
      <c r="B45" s="284">
        <v>1</v>
      </c>
      <c r="C45" s="284">
        <v>2</v>
      </c>
      <c r="D45" s="284">
        <v>3</v>
      </c>
      <c r="E45" s="284">
        <v>4</v>
      </c>
      <c r="F45" s="284">
        <v>5</v>
      </c>
      <c r="G45" s="284">
        <v>6</v>
      </c>
      <c r="H45" s="285">
        <v>7</v>
      </c>
      <c r="I45" s="472"/>
    </row>
    <row r="46" spans="1:9" ht="18.75" x14ac:dyDescent="0.3">
      <c r="A46" s="198" t="s">
        <v>740</v>
      </c>
      <c r="B46" s="286">
        <f>ROUND((+B56*1.015),2)</f>
        <v>22.06</v>
      </c>
      <c r="C46" s="286">
        <f t="shared" ref="C46:H46" si="14">ROUND((+C56*1.015),2)</f>
        <v>22.93</v>
      </c>
      <c r="D46" s="286">
        <f t="shared" si="14"/>
        <v>23.85</v>
      </c>
      <c r="E46" s="286">
        <f t="shared" si="14"/>
        <v>24.81</v>
      </c>
      <c r="F46" s="286">
        <f t="shared" si="14"/>
        <v>25.8</v>
      </c>
      <c r="G46" s="286">
        <f t="shared" si="14"/>
        <v>26.84</v>
      </c>
      <c r="H46" s="287">
        <f t="shared" si="14"/>
        <v>27.9</v>
      </c>
      <c r="I46" s="472"/>
    </row>
    <row r="47" spans="1:9" ht="18.75" x14ac:dyDescent="0.3">
      <c r="A47" s="198" t="s">
        <v>623</v>
      </c>
      <c r="B47" s="286">
        <f>ROUND((+B57*1.015),2)</f>
        <v>23.9</v>
      </c>
      <c r="C47" s="286">
        <f t="shared" ref="C47:H47" si="15">ROUND((+C57*1.015),2)</f>
        <v>24.86</v>
      </c>
      <c r="D47" s="286">
        <f t="shared" si="15"/>
        <v>25.85</v>
      </c>
      <c r="E47" s="286">
        <f t="shared" si="15"/>
        <v>26.89</v>
      </c>
      <c r="F47" s="286">
        <f t="shared" si="15"/>
        <v>27.96</v>
      </c>
      <c r="G47" s="286">
        <f t="shared" si="15"/>
        <v>29.08</v>
      </c>
      <c r="H47" s="287">
        <f t="shared" si="15"/>
        <v>30.25</v>
      </c>
      <c r="I47" s="472"/>
    </row>
    <row r="48" spans="1:9" ht="18.75" x14ac:dyDescent="0.3">
      <c r="A48" s="198" t="s">
        <v>739</v>
      </c>
      <c r="B48" s="286"/>
      <c r="C48" s="286"/>
      <c r="D48" s="286"/>
      <c r="E48" s="281">
        <v>1</v>
      </c>
      <c r="F48" s="281">
        <v>2</v>
      </c>
      <c r="G48" s="281">
        <v>3</v>
      </c>
      <c r="H48" s="282">
        <v>4</v>
      </c>
      <c r="I48" s="472"/>
    </row>
    <row r="49" spans="1:9" ht="18.75" x14ac:dyDescent="0.3">
      <c r="A49" s="198" t="s">
        <v>622</v>
      </c>
      <c r="B49" s="286"/>
      <c r="C49" s="286"/>
      <c r="D49" s="286"/>
      <c r="E49" s="286">
        <f t="shared" ref="E49:H50" si="16">ROUND((+E59*1.015),2)</f>
        <v>28.68</v>
      </c>
      <c r="F49" s="286">
        <f t="shared" si="16"/>
        <v>29.84</v>
      </c>
      <c r="G49" s="286">
        <f t="shared" si="16"/>
        <v>31.03</v>
      </c>
      <c r="H49" s="287">
        <f t="shared" si="16"/>
        <v>32.26</v>
      </c>
      <c r="I49" s="472"/>
    </row>
    <row r="50" spans="1:9" ht="18.75" x14ac:dyDescent="0.3">
      <c r="A50" s="199" t="s">
        <v>621</v>
      </c>
      <c r="B50" s="288"/>
      <c r="C50" s="288"/>
      <c r="D50" s="288"/>
      <c r="E50" s="288">
        <f t="shared" si="16"/>
        <v>31.85</v>
      </c>
      <c r="F50" s="288">
        <f t="shared" si="16"/>
        <v>33.119999999999997</v>
      </c>
      <c r="G50" s="288">
        <f t="shared" si="16"/>
        <v>34.450000000000003</v>
      </c>
      <c r="H50" s="289">
        <f t="shared" si="16"/>
        <v>35.83</v>
      </c>
      <c r="I50" s="472"/>
    </row>
    <row r="51" spans="1:9" ht="18.75" x14ac:dyDescent="0.3">
      <c r="A51" s="473"/>
      <c r="B51" s="473"/>
      <c r="C51" s="473"/>
      <c r="D51" s="473"/>
      <c r="E51" s="473"/>
      <c r="F51" s="473"/>
      <c r="G51" s="473"/>
      <c r="H51" s="473"/>
      <c r="I51" s="472"/>
    </row>
    <row r="52" spans="1:9" ht="18.75" x14ac:dyDescent="0.3">
      <c r="A52" s="882" t="s">
        <v>885</v>
      </c>
      <c r="B52" s="882"/>
      <c r="C52" s="882"/>
      <c r="D52" s="882"/>
      <c r="E52" s="882"/>
      <c r="F52" s="882"/>
      <c r="G52" s="882"/>
      <c r="H52" s="882"/>
      <c r="I52" s="472"/>
    </row>
    <row r="53" spans="1:9" ht="18.75" x14ac:dyDescent="0.3">
      <c r="A53" s="382" t="s">
        <v>1080</v>
      </c>
      <c r="B53" s="194"/>
      <c r="C53" s="194"/>
      <c r="D53" s="194"/>
      <c r="E53" s="194"/>
      <c r="F53" s="194"/>
      <c r="G53" s="194"/>
      <c r="H53" s="207"/>
      <c r="I53" s="384"/>
    </row>
    <row r="54" spans="1:9" ht="18.75" x14ac:dyDescent="0.3">
      <c r="A54" s="283" t="s">
        <v>33</v>
      </c>
      <c r="B54" s="148"/>
      <c r="C54" s="148"/>
      <c r="D54" s="148"/>
      <c r="E54" s="148"/>
      <c r="F54" s="148"/>
      <c r="G54" s="148"/>
      <c r="H54" s="280"/>
      <c r="I54" s="384"/>
    </row>
    <row r="55" spans="1:9" ht="18.75" x14ac:dyDescent="0.3">
      <c r="A55" s="198" t="s">
        <v>739</v>
      </c>
      <c r="B55" s="284">
        <v>1</v>
      </c>
      <c r="C55" s="284">
        <v>2</v>
      </c>
      <c r="D55" s="284">
        <v>3</v>
      </c>
      <c r="E55" s="284">
        <v>4</v>
      </c>
      <c r="F55" s="284">
        <v>5</v>
      </c>
      <c r="G55" s="284">
        <v>6</v>
      </c>
      <c r="H55" s="285">
        <v>7</v>
      </c>
      <c r="I55" s="384"/>
    </row>
    <row r="56" spans="1:9" ht="18.75" x14ac:dyDescent="0.3">
      <c r="A56" s="198" t="s">
        <v>740</v>
      </c>
      <c r="B56" s="286">
        <f>ROUND((+B67*1.01),2)</f>
        <v>21.73</v>
      </c>
      <c r="C56" s="286">
        <f t="shared" ref="C56:H56" si="17">ROUND((+C67*1.01),2)</f>
        <v>22.59</v>
      </c>
      <c r="D56" s="286">
        <f t="shared" si="17"/>
        <v>23.5</v>
      </c>
      <c r="E56" s="286">
        <f t="shared" si="17"/>
        <v>24.44</v>
      </c>
      <c r="F56" s="286">
        <f t="shared" si="17"/>
        <v>25.42</v>
      </c>
      <c r="G56" s="286">
        <f t="shared" si="17"/>
        <v>26.44</v>
      </c>
      <c r="H56" s="287">
        <f t="shared" si="17"/>
        <v>27.49</v>
      </c>
      <c r="I56" s="384"/>
    </row>
    <row r="57" spans="1:9" ht="18.75" x14ac:dyDescent="0.3">
      <c r="A57" s="198" t="s">
        <v>623</v>
      </c>
      <c r="B57" s="286">
        <f t="shared" ref="B57:H57" si="18">ROUND((+B68*1.01),2)</f>
        <v>23.55</v>
      </c>
      <c r="C57" s="286">
        <f t="shared" si="18"/>
        <v>24.49</v>
      </c>
      <c r="D57" s="286">
        <f t="shared" si="18"/>
        <v>25.47</v>
      </c>
      <c r="E57" s="286">
        <f t="shared" si="18"/>
        <v>26.49</v>
      </c>
      <c r="F57" s="286">
        <f t="shared" si="18"/>
        <v>27.55</v>
      </c>
      <c r="G57" s="286">
        <f t="shared" si="18"/>
        <v>28.65</v>
      </c>
      <c r="H57" s="287">
        <f t="shared" si="18"/>
        <v>29.8</v>
      </c>
      <c r="I57" s="384"/>
    </row>
    <row r="58" spans="1:9" ht="18.75" x14ac:dyDescent="0.3">
      <c r="A58" s="198" t="s">
        <v>739</v>
      </c>
      <c r="B58" s="286"/>
      <c r="C58" s="286"/>
      <c r="D58" s="286"/>
      <c r="E58" s="281">
        <v>1</v>
      </c>
      <c r="F58" s="281">
        <v>2</v>
      </c>
      <c r="G58" s="281">
        <v>3</v>
      </c>
      <c r="H58" s="282">
        <v>4</v>
      </c>
      <c r="I58" s="384"/>
    </row>
    <row r="59" spans="1:9" ht="18.75" x14ac:dyDescent="0.3">
      <c r="A59" s="198" t="s">
        <v>622</v>
      </c>
      <c r="B59" s="286"/>
      <c r="C59" s="286"/>
      <c r="D59" s="286"/>
      <c r="E59" s="286">
        <f t="shared" ref="E59:H60" si="19">ROUND((+E70*1.01),2)</f>
        <v>28.26</v>
      </c>
      <c r="F59" s="286">
        <f t="shared" si="19"/>
        <v>29.4</v>
      </c>
      <c r="G59" s="286">
        <f t="shared" si="19"/>
        <v>30.57</v>
      </c>
      <c r="H59" s="287">
        <f t="shared" si="19"/>
        <v>31.78</v>
      </c>
      <c r="I59" s="384"/>
    </row>
    <row r="60" spans="1:9" ht="18.75" x14ac:dyDescent="0.3">
      <c r="A60" s="199" t="s">
        <v>621</v>
      </c>
      <c r="B60" s="288"/>
      <c r="C60" s="288"/>
      <c r="D60" s="288"/>
      <c r="E60" s="288">
        <f t="shared" si="19"/>
        <v>31.38</v>
      </c>
      <c r="F60" s="288">
        <f t="shared" si="19"/>
        <v>32.630000000000003</v>
      </c>
      <c r="G60" s="288">
        <f t="shared" si="19"/>
        <v>33.94</v>
      </c>
      <c r="H60" s="289">
        <f t="shared" si="19"/>
        <v>35.299999999999997</v>
      </c>
      <c r="I60" s="384"/>
    </row>
    <row r="61" spans="1:9" ht="18.75" x14ac:dyDescent="0.3">
      <c r="A61" s="384"/>
      <c r="B61" s="384"/>
      <c r="C61" s="384"/>
      <c r="D61" s="384"/>
      <c r="E61" s="384"/>
      <c r="F61" s="384"/>
      <c r="G61" s="384"/>
      <c r="H61" s="384"/>
      <c r="I61" s="384"/>
    </row>
    <row r="62" spans="1:9" ht="18.75" x14ac:dyDescent="0.3">
      <c r="A62" s="384"/>
      <c r="B62" s="384"/>
      <c r="C62" s="384"/>
      <c r="D62" s="384"/>
      <c r="E62" s="384"/>
      <c r="F62" s="384"/>
      <c r="G62" s="384"/>
      <c r="H62" s="384"/>
      <c r="I62" s="384"/>
    </row>
    <row r="63" spans="1:9" ht="15.75" x14ac:dyDescent="0.25">
      <c r="A63" s="882" t="s">
        <v>794</v>
      </c>
      <c r="B63" s="882"/>
      <c r="C63" s="882"/>
      <c r="D63" s="882"/>
      <c r="E63" s="882"/>
      <c r="F63" s="882"/>
      <c r="G63" s="882"/>
      <c r="H63" s="882"/>
      <c r="I63" s="148"/>
    </row>
    <row r="64" spans="1:9" x14ac:dyDescent="0.2">
      <c r="A64" s="290" t="s">
        <v>751</v>
      </c>
      <c r="B64" s="194"/>
      <c r="C64" s="194"/>
      <c r="D64" s="194"/>
      <c r="E64" s="194"/>
      <c r="F64" s="194"/>
      <c r="G64" s="194"/>
      <c r="H64" s="207"/>
      <c r="I64" s="291"/>
    </row>
    <row r="65" spans="1:9" x14ac:dyDescent="0.2">
      <c r="A65" s="283" t="s">
        <v>33</v>
      </c>
      <c r="B65" s="148"/>
      <c r="C65" s="148"/>
      <c r="D65" s="148"/>
      <c r="E65" s="148"/>
      <c r="F65" s="148"/>
      <c r="G65" s="148"/>
      <c r="H65" s="280"/>
      <c r="I65" s="240"/>
    </row>
    <row r="66" spans="1:9" x14ac:dyDescent="0.2">
      <c r="A66" s="198" t="s">
        <v>739</v>
      </c>
      <c r="B66" s="284">
        <v>1</v>
      </c>
      <c r="C66" s="284">
        <v>2</v>
      </c>
      <c r="D66" s="284">
        <v>3</v>
      </c>
      <c r="E66" s="284">
        <v>4</v>
      </c>
      <c r="F66" s="284">
        <v>5</v>
      </c>
      <c r="G66" s="284">
        <v>6</v>
      </c>
      <c r="H66" s="285">
        <v>7</v>
      </c>
      <c r="I66" s="240"/>
    </row>
    <row r="67" spans="1:9" ht="14.25" x14ac:dyDescent="0.2">
      <c r="A67" s="198" t="s">
        <v>740</v>
      </c>
      <c r="B67" s="286">
        <f>ROUND((+B78*1.01),2)</f>
        <v>21.51</v>
      </c>
      <c r="C67" s="286">
        <f t="shared" ref="C67:H67" si="20">ROUND((+C78*1.01),2)</f>
        <v>22.37</v>
      </c>
      <c r="D67" s="286">
        <f t="shared" si="20"/>
        <v>23.27</v>
      </c>
      <c r="E67" s="286">
        <f t="shared" si="20"/>
        <v>24.2</v>
      </c>
      <c r="F67" s="286">
        <f t="shared" si="20"/>
        <v>25.17</v>
      </c>
      <c r="G67" s="286">
        <f t="shared" si="20"/>
        <v>26.18</v>
      </c>
      <c r="H67" s="287">
        <f t="shared" si="20"/>
        <v>27.22</v>
      </c>
      <c r="I67" s="240"/>
    </row>
    <row r="68" spans="1:9" ht="14.25" x14ac:dyDescent="0.2">
      <c r="A68" s="198" t="s">
        <v>623</v>
      </c>
      <c r="B68" s="286">
        <f>ROUND((+B79*1.01),2)</f>
        <v>23.32</v>
      </c>
      <c r="C68" s="286">
        <f t="shared" ref="C68:H68" si="21">ROUND((+C79*1.01),2)</f>
        <v>24.25</v>
      </c>
      <c r="D68" s="286">
        <f t="shared" si="21"/>
        <v>25.22</v>
      </c>
      <c r="E68" s="286">
        <f t="shared" si="21"/>
        <v>26.23</v>
      </c>
      <c r="F68" s="286">
        <f t="shared" si="21"/>
        <v>27.28</v>
      </c>
      <c r="G68" s="286">
        <f t="shared" si="21"/>
        <v>28.37</v>
      </c>
      <c r="H68" s="287">
        <f t="shared" si="21"/>
        <v>29.5</v>
      </c>
      <c r="I68" s="240"/>
    </row>
    <row r="69" spans="1:9" ht="14.25" x14ac:dyDescent="0.2">
      <c r="A69" s="198" t="s">
        <v>739</v>
      </c>
      <c r="B69" s="286"/>
      <c r="C69" s="286"/>
      <c r="D69" s="286"/>
      <c r="E69" s="281">
        <v>1</v>
      </c>
      <c r="F69" s="281">
        <v>2</v>
      </c>
      <c r="G69" s="281">
        <v>3</v>
      </c>
      <c r="H69" s="282">
        <v>4</v>
      </c>
      <c r="I69" s="240"/>
    </row>
    <row r="70" spans="1:9" ht="14.25" x14ac:dyDescent="0.2">
      <c r="A70" s="198" t="s">
        <v>622</v>
      </c>
      <c r="B70" s="286"/>
      <c r="C70" s="286"/>
      <c r="D70" s="286"/>
      <c r="E70" s="286">
        <f t="shared" ref="E70:H71" si="22">ROUND((+E81*1.01),2)</f>
        <v>27.98</v>
      </c>
      <c r="F70" s="286">
        <f t="shared" si="22"/>
        <v>29.11</v>
      </c>
      <c r="G70" s="286">
        <f t="shared" si="22"/>
        <v>30.27</v>
      </c>
      <c r="H70" s="287">
        <f t="shared" si="22"/>
        <v>31.47</v>
      </c>
      <c r="I70" s="240"/>
    </row>
    <row r="71" spans="1:9" ht="14.25" x14ac:dyDescent="0.2">
      <c r="A71" s="199" t="s">
        <v>621</v>
      </c>
      <c r="B71" s="288"/>
      <c r="C71" s="288"/>
      <c r="D71" s="288"/>
      <c r="E71" s="288">
        <f t="shared" si="22"/>
        <v>31.07</v>
      </c>
      <c r="F71" s="288">
        <f t="shared" si="22"/>
        <v>32.31</v>
      </c>
      <c r="G71" s="288">
        <f t="shared" si="22"/>
        <v>33.6</v>
      </c>
      <c r="H71" s="289">
        <f t="shared" si="22"/>
        <v>34.950000000000003</v>
      </c>
      <c r="I71" s="240"/>
    </row>
    <row r="73" spans="1:9" ht="18.75" x14ac:dyDescent="0.3">
      <c r="A73" s="881" t="s">
        <v>708</v>
      </c>
      <c r="B73" s="881"/>
      <c r="C73" s="881"/>
      <c r="D73" s="881"/>
      <c r="E73" s="881"/>
      <c r="F73" s="881"/>
      <c r="G73" s="881"/>
      <c r="H73" s="881"/>
      <c r="I73" s="881"/>
    </row>
    <row r="74" spans="1:9" s="148" customFormat="1" ht="15.75" x14ac:dyDescent="0.25">
      <c r="A74" s="882" t="s">
        <v>752</v>
      </c>
      <c r="B74" s="882"/>
      <c r="C74" s="882"/>
      <c r="D74" s="882"/>
      <c r="E74" s="882"/>
      <c r="F74" s="882"/>
      <c r="G74" s="882"/>
      <c r="H74" s="882"/>
    </row>
    <row r="75" spans="1:9" s="148" customFormat="1" x14ac:dyDescent="0.2">
      <c r="A75" s="290" t="s">
        <v>741</v>
      </c>
      <c r="B75" s="194"/>
      <c r="C75" s="194"/>
      <c r="D75" s="194"/>
      <c r="E75" s="194"/>
      <c r="F75" s="194"/>
      <c r="G75" s="194"/>
      <c r="H75" s="207"/>
      <c r="I75" s="291"/>
    </row>
    <row r="76" spans="1:9" s="148" customFormat="1" x14ac:dyDescent="0.2">
      <c r="A76" s="283" t="s">
        <v>33</v>
      </c>
      <c r="H76" s="280"/>
      <c r="I76" s="240"/>
    </row>
    <row r="77" spans="1:9" s="148" customFormat="1" x14ac:dyDescent="0.2">
      <c r="A77" s="198" t="s">
        <v>739</v>
      </c>
      <c r="B77" s="284">
        <v>1</v>
      </c>
      <c r="C77" s="284">
        <v>2</v>
      </c>
      <c r="D77" s="284">
        <v>3</v>
      </c>
      <c r="E77" s="284">
        <v>4</v>
      </c>
      <c r="F77" s="284">
        <v>5</v>
      </c>
      <c r="G77" s="284">
        <v>6</v>
      </c>
      <c r="H77" s="285">
        <v>7</v>
      </c>
      <c r="I77" s="240"/>
    </row>
    <row r="78" spans="1:9" s="148" customFormat="1" ht="14.25" x14ac:dyDescent="0.2">
      <c r="A78" s="198" t="s">
        <v>740</v>
      </c>
      <c r="B78" s="286">
        <f t="shared" ref="B78:H79" si="23">ROUND((+B88*1.01),2)</f>
        <v>21.3</v>
      </c>
      <c r="C78" s="286">
        <f t="shared" si="23"/>
        <v>22.15</v>
      </c>
      <c r="D78" s="286">
        <f t="shared" si="23"/>
        <v>23.04</v>
      </c>
      <c r="E78" s="286">
        <f t="shared" si="23"/>
        <v>23.96</v>
      </c>
      <c r="F78" s="286">
        <f t="shared" si="23"/>
        <v>24.92</v>
      </c>
      <c r="G78" s="286">
        <f t="shared" si="23"/>
        <v>25.92</v>
      </c>
      <c r="H78" s="287">
        <f t="shared" si="23"/>
        <v>26.95</v>
      </c>
      <c r="I78" s="240"/>
    </row>
    <row r="79" spans="1:9" s="148" customFormat="1" ht="14.25" x14ac:dyDescent="0.2">
      <c r="A79" s="198" t="s">
        <v>623</v>
      </c>
      <c r="B79" s="286">
        <f t="shared" si="23"/>
        <v>23.09</v>
      </c>
      <c r="C79" s="286">
        <f t="shared" si="23"/>
        <v>24.01</v>
      </c>
      <c r="D79" s="286">
        <f t="shared" si="23"/>
        <v>24.97</v>
      </c>
      <c r="E79" s="286">
        <f t="shared" si="23"/>
        <v>25.97</v>
      </c>
      <c r="F79" s="286">
        <f t="shared" si="23"/>
        <v>27.01</v>
      </c>
      <c r="G79" s="286">
        <f t="shared" si="23"/>
        <v>28.09</v>
      </c>
      <c r="H79" s="287">
        <f t="shared" si="23"/>
        <v>29.21</v>
      </c>
      <c r="I79" s="240"/>
    </row>
    <row r="80" spans="1:9" s="148" customFormat="1" ht="14.25" x14ac:dyDescent="0.2">
      <c r="A80" s="198" t="s">
        <v>739</v>
      </c>
      <c r="B80" s="286"/>
      <c r="C80" s="286"/>
      <c r="D80" s="286"/>
      <c r="E80" s="281">
        <v>1</v>
      </c>
      <c r="F80" s="281">
        <v>2</v>
      </c>
      <c r="G80" s="281">
        <v>3</v>
      </c>
      <c r="H80" s="282">
        <v>4</v>
      </c>
      <c r="I80" s="240"/>
    </row>
    <row r="81" spans="1:9" s="148" customFormat="1" ht="14.25" x14ac:dyDescent="0.2">
      <c r="A81" s="198" t="s">
        <v>622</v>
      </c>
      <c r="B81" s="286"/>
      <c r="C81" s="286"/>
      <c r="D81" s="286"/>
      <c r="E81" s="286">
        <f t="shared" ref="E81:H82" si="24">ROUND((+E91*1.01),2)</f>
        <v>27.7</v>
      </c>
      <c r="F81" s="286">
        <f t="shared" si="24"/>
        <v>28.82</v>
      </c>
      <c r="G81" s="286">
        <f t="shared" si="24"/>
        <v>29.97</v>
      </c>
      <c r="H81" s="287">
        <f t="shared" si="24"/>
        <v>31.16</v>
      </c>
      <c r="I81" s="240"/>
    </row>
    <row r="82" spans="1:9" s="148" customFormat="1" ht="14.25" x14ac:dyDescent="0.2">
      <c r="A82" s="199" t="s">
        <v>621</v>
      </c>
      <c r="B82" s="288"/>
      <c r="C82" s="288"/>
      <c r="D82" s="288"/>
      <c r="E82" s="288">
        <f t="shared" si="24"/>
        <v>30.76</v>
      </c>
      <c r="F82" s="288">
        <f t="shared" si="24"/>
        <v>31.99</v>
      </c>
      <c r="G82" s="288">
        <f t="shared" si="24"/>
        <v>33.270000000000003</v>
      </c>
      <c r="H82" s="289">
        <f t="shared" si="24"/>
        <v>34.6</v>
      </c>
      <c r="I82" s="240"/>
    </row>
    <row r="83" spans="1:9" s="148" customFormat="1" x14ac:dyDescent="0.2">
      <c r="A83" s="292"/>
      <c r="B83" s="240"/>
      <c r="C83" s="240"/>
      <c r="D83" s="240"/>
      <c r="E83" s="240"/>
      <c r="F83" s="240"/>
      <c r="G83" s="240"/>
      <c r="H83" s="240"/>
      <c r="I83" s="240"/>
    </row>
    <row r="84" spans="1:9" s="148" customFormat="1" x14ac:dyDescent="0.2"/>
    <row r="85" spans="1:9" x14ac:dyDescent="0.2">
      <c r="A85" s="131" t="s">
        <v>750</v>
      </c>
      <c r="B85" s="130"/>
      <c r="C85" s="130"/>
      <c r="D85" s="130"/>
      <c r="E85" s="130"/>
      <c r="F85" s="130"/>
      <c r="G85" s="130"/>
      <c r="H85" s="130"/>
    </row>
    <row r="86" spans="1:9" x14ac:dyDescent="0.2">
      <c r="A86" s="293" t="s">
        <v>33</v>
      </c>
      <c r="B86" s="294"/>
      <c r="C86" s="294"/>
      <c r="D86" s="294"/>
      <c r="E86" s="294"/>
      <c r="F86" s="294"/>
      <c r="G86" s="294"/>
      <c r="H86" s="295"/>
    </row>
    <row r="87" spans="1:9" x14ac:dyDescent="0.2">
      <c r="A87" s="198" t="s">
        <v>739</v>
      </c>
      <c r="B87" s="284">
        <v>1</v>
      </c>
      <c r="C87" s="284">
        <v>2</v>
      </c>
      <c r="D87" s="284">
        <v>3</v>
      </c>
      <c r="E87" s="284">
        <v>4</v>
      </c>
      <c r="F87" s="284">
        <v>5</v>
      </c>
      <c r="G87" s="284">
        <v>6</v>
      </c>
      <c r="H87" s="285">
        <v>7</v>
      </c>
    </row>
    <row r="88" spans="1:9" ht="14.25" x14ac:dyDescent="0.2">
      <c r="A88" s="198" t="s">
        <v>740</v>
      </c>
      <c r="B88" s="286">
        <v>21.09</v>
      </c>
      <c r="C88" s="286">
        <v>21.93</v>
      </c>
      <c r="D88" s="286">
        <v>22.81</v>
      </c>
      <c r="E88" s="286">
        <v>23.72</v>
      </c>
      <c r="F88" s="286">
        <v>24.67</v>
      </c>
      <c r="G88" s="286">
        <v>25.66</v>
      </c>
      <c r="H88" s="287">
        <v>26.68</v>
      </c>
    </row>
    <row r="89" spans="1:9" ht="14.25" x14ac:dyDescent="0.2">
      <c r="A89" s="198" t="s">
        <v>623</v>
      </c>
      <c r="B89" s="286">
        <v>22.86</v>
      </c>
      <c r="C89" s="286">
        <v>23.77</v>
      </c>
      <c r="D89" s="286">
        <v>24.72</v>
      </c>
      <c r="E89" s="286">
        <v>25.71</v>
      </c>
      <c r="F89" s="286">
        <v>26.74</v>
      </c>
      <c r="G89" s="286">
        <v>27.81</v>
      </c>
      <c r="H89" s="287">
        <v>28.92</v>
      </c>
    </row>
    <row r="90" spans="1:9" ht="14.25" x14ac:dyDescent="0.2">
      <c r="A90" s="198" t="s">
        <v>739</v>
      </c>
      <c r="B90" s="286"/>
      <c r="C90" s="286"/>
      <c r="D90" s="286"/>
      <c r="E90" s="281">
        <v>1</v>
      </c>
      <c r="F90" s="281">
        <v>2</v>
      </c>
      <c r="G90" s="281">
        <v>3</v>
      </c>
      <c r="H90" s="282">
        <v>4</v>
      </c>
    </row>
    <row r="91" spans="1:9" ht="14.25" x14ac:dyDescent="0.2">
      <c r="A91" s="198" t="s">
        <v>622</v>
      </c>
      <c r="B91" s="286"/>
      <c r="C91" s="286"/>
      <c r="D91" s="286"/>
      <c r="E91" s="286">
        <v>27.43</v>
      </c>
      <c r="F91" s="286">
        <v>28.53</v>
      </c>
      <c r="G91" s="286">
        <v>29.67</v>
      </c>
      <c r="H91" s="287">
        <v>30.85</v>
      </c>
    </row>
    <row r="92" spans="1:9" ht="14.25" x14ac:dyDescent="0.2">
      <c r="A92" s="199" t="s">
        <v>621</v>
      </c>
      <c r="B92" s="288"/>
      <c r="C92" s="288"/>
      <c r="D92" s="288"/>
      <c r="E92" s="288">
        <v>30.46</v>
      </c>
      <c r="F92" s="288">
        <v>31.67</v>
      </c>
      <c r="G92" s="288">
        <v>32.94</v>
      </c>
      <c r="H92" s="289">
        <v>34.26</v>
      </c>
    </row>
    <row r="95" spans="1:9" x14ac:dyDescent="0.2">
      <c r="A95" s="87" t="s">
        <v>751</v>
      </c>
    </row>
    <row r="96" spans="1:9" x14ac:dyDescent="0.2">
      <c r="A96" s="283" t="s">
        <v>33</v>
      </c>
      <c r="B96" s="148"/>
      <c r="C96" s="148"/>
      <c r="D96" s="148"/>
      <c r="E96" s="148"/>
      <c r="F96" s="148"/>
      <c r="G96" s="148"/>
      <c r="H96" s="280"/>
    </row>
    <row r="97" spans="1:8" x14ac:dyDescent="0.2">
      <c r="A97" s="198" t="s">
        <v>739</v>
      </c>
      <c r="B97" s="284">
        <v>1</v>
      </c>
      <c r="C97" s="284">
        <v>2</v>
      </c>
      <c r="D97" s="284">
        <v>3</v>
      </c>
      <c r="E97" s="284">
        <v>4</v>
      </c>
      <c r="F97" s="284">
        <v>5</v>
      </c>
      <c r="G97" s="284">
        <v>6</v>
      </c>
      <c r="H97" s="285">
        <v>7</v>
      </c>
    </row>
    <row r="98" spans="1:8" ht="14.25" x14ac:dyDescent="0.2">
      <c r="A98" s="198" t="s">
        <v>740</v>
      </c>
      <c r="B98" s="286">
        <f>ROUND((+B78*1.01),2)</f>
        <v>21.51</v>
      </c>
      <c r="C98" s="286">
        <f t="shared" ref="C98:H98" si="25">ROUND((+C78*1.01),2)</f>
        <v>22.37</v>
      </c>
      <c r="D98" s="286">
        <f t="shared" si="25"/>
        <v>23.27</v>
      </c>
      <c r="E98" s="286">
        <f t="shared" si="25"/>
        <v>24.2</v>
      </c>
      <c r="F98" s="286">
        <f t="shared" si="25"/>
        <v>25.17</v>
      </c>
      <c r="G98" s="286">
        <f t="shared" si="25"/>
        <v>26.18</v>
      </c>
      <c r="H98" s="287">
        <f t="shared" si="25"/>
        <v>27.22</v>
      </c>
    </row>
    <row r="99" spans="1:8" ht="14.25" x14ac:dyDescent="0.2">
      <c r="A99" s="198" t="s">
        <v>623</v>
      </c>
      <c r="B99" s="286">
        <f>ROUND((+B79*1.01),2)</f>
        <v>23.32</v>
      </c>
      <c r="C99" s="286">
        <f t="shared" ref="C99:H99" si="26">ROUND((+C79*1.01),2)</f>
        <v>24.25</v>
      </c>
      <c r="D99" s="286">
        <f t="shared" si="26"/>
        <v>25.22</v>
      </c>
      <c r="E99" s="286">
        <f t="shared" si="26"/>
        <v>26.23</v>
      </c>
      <c r="F99" s="286">
        <f t="shared" si="26"/>
        <v>27.28</v>
      </c>
      <c r="G99" s="286">
        <f t="shared" si="26"/>
        <v>28.37</v>
      </c>
      <c r="H99" s="287">
        <f t="shared" si="26"/>
        <v>29.5</v>
      </c>
    </row>
    <row r="100" spans="1:8" ht="14.25" x14ac:dyDescent="0.2">
      <c r="A100" s="198" t="s">
        <v>739</v>
      </c>
      <c r="B100" s="286"/>
      <c r="C100" s="286"/>
      <c r="D100" s="286"/>
      <c r="E100" s="281">
        <v>1</v>
      </c>
      <c r="F100" s="281">
        <v>2</v>
      </c>
      <c r="G100" s="281">
        <v>3</v>
      </c>
      <c r="H100" s="282">
        <v>4</v>
      </c>
    </row>
    <row r="101" spans="1:8" ht="14.25" x14ac:dyDescent="0.2">
      <c r="A101" s="198" t="s">
        <v>622</v>
      </c>
      <c r="B101" s="286"/>
      <c r="C101" s="286"/>
      <c r="D101" s="286"/>
      <c r="E101" s="286">
        <f t="shared" ref="E101:H102" si="27">ROUND((+E81*1.01),2)</f>
        <v>27.98</v>
      </c>
      <c r="F101" s="286">
        <f t="shared" si="27"/>
        <v>29.11</v>
      </c>
      <c r="G101" s="286">
        <f t="shared" si="27"/>
        <v>30.27</v>
      </c>
      <c r="H101" s="287">
        <f t="shared" si="27"/>
        <v>31.47</v>
      </c>
    </row>
    <row r="102" spans="1:8" ht="14.25" x14ac:dyDescent="0.2">
      <c r="A102" s="199" t="s">
        <v>621</v>
      </c>
      <c r="B102" s="288"/>
      <c r="C102" s="288"/>
      <c r="D102" s="288"/>
      <c r="E102" s="288">
        <f t="shared" si="27"/>
        <v>31.07</v>
      </c>
      <c r="F102" s="288">
        <f t="shared" si="27"/>
        <v>32.31</v>
      </c>
      <c r="G102" s="288">
        <f t="shared" si="27"/>
        <v>33.6</v>
      </c>
      <c r="H102" s="289">
        <f t="shared" si="27"/>
        <v>34.950000000000003</v>
      </c>
    </row>
  </sheetData>
  <mergeCells count="10">
    <mergeCell ref="A73:I73"/>
    <mergeCell ref="A74:H74"/>
    <mergeCell ref="A1:I1"/>
    <mergeCell ref="A63:H63"/>
    <mergeCell ref="A42:H42"/>
    <mergeCell ref="A52:H52"/>
    <mergeCell ref="A12:H12"/>
    <mergeCell ref="A32:H32"/>
    <mergeCell ref="A22:H22"/>
    <mergeCell ref="A2:H2"/>
  </mergeCells>
  <phoneticPr fontId="15" type="noConversion"/>
  <hyperlinks>
    <hyperlink ref="I2" location="'Table of Contents'!A1" display="TOC"/>
  </hyperlinks>
  <pageMargins left="0.75" right="0.75" top="1" bottom="1" header="0.5" footer="0.5"/>
  <pageSetup orientation="portrait" r:id="rId1"/>
  <headerFooter alignWithMargins="0">
    <oddFooter>&amp;L&amp;D &amp;T&amp;C&amp;F&amp;R&amp;A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9"/>
  <sheetViews>
    <sheetView workbookViewId="0"/>
  </sheetViews>
  <sheetFormatPr defaultRowHeight="12.75" x14ac:dyDescent="0.2"/>
  <sheetData>
    <row r="1" spans="1:11" x14ac:dyDescent="0.2">
      <c r="A1" s="410" t="s">
        <v>1418</v>
      </c>
    </row>
    <row r="2" spans="1:11" x14ac:dyDescent="0.2">
      <c r="A2" t="s">
        <v>900</v>
      </c>
      <c r="F2" t="s">
        <v>1386</v>
      </c>
    </row>
    <row r="3" spans="1:11" x14ac:dyDescent="0.2">
      <c r="B3" t="s">
        <v>739</v>
      </c>
    </row>
    <row r="4" spans="1:11" x14ac:dyDescent="0.2">
      <c r="A4" t="s">
        <v>742</v>
      </c>
      <c r="B4">
        <v>1</v>
      </c>
      <c r="C4">
        <v>2</v>
      </c>
      <c r="D4">
        <v>3</v>
      </c>
      <c r="E4">
        <v>4</v>
      </c>
      <c r="F4">
        <v>5</v>
      </c>
      <c r="G4">
        <v>6</v>
      </c>
      <c r="H4">
        <v>7</v>
      </c>
      <c r="I4">
        <v>8</v>
      </c>
      <c r="J4">
        <v>9</v>
      </c>
      <c r="K4">
        <v>10</v>
      </c>
    </row>
    <row r="5" spans="1:11" x14ac:dyDescent="0.2">
      <c r="A5" t="s">
        <v>50</v>
      </c>
      <c r="B5" s="1">
        <v>14.96</v>
      </c>
      <c r="C5" s="1">
        <v>15.33</v>
      </c>
      <c r="D5" s="1">
        <v>15.71</v>
      </c>
      <c r="E5" s="1">
        <v>16.12</v>
      </c>
      <c r="F5" s="1">
        <v>16.489999999999998</v>
      </c>
      <c r="G5" s="1">
        <v>16.93</v>
      </c>
      <c r="H5" s="1">
        <v>17.309999999999999</v>
      </c>
      <c r="I5" s="1">
        <v>17.690000000000001</v>
      </c>
      <c r="J5" s="1">
        <v>18.04</v>
      </c>
      <c r="K5" s="1">
        <v>18.41</v>
      </c>
    </row>
    <row r="6" spans="1:11" x14ac:dyDescent="0.2">
      <c r="A6" t="s">
        <v>51</v>
      </c>
      <c r="B6" s="1">
        <v>17.64</v>
      </c>
      <c r="C6" s="1">
        <v>18.07</v>
      </c>
      <c r="D6" s="1">
        <v>18.52</v>
      </c>
      <c r="E6" s="1">
        <v>18.989999999999998</v>
      </c>
      <c r="F6" s="1">
        <v>19.46</v>
      </c>
      <c r="G6" s="1">
        <v>19.95</v>
      </c>
      <c r="H6" s="1">
        <v>20.46</v>
      </c>
      <c r="I6" s="1">
        <v>20.85</v>
      </c>
      <c r="J6" s="1">
        <v>21.28</v>
      </c>
      <c r="K6" s="1">
        <v>21.71</v>
      </c>
    </row>
    <row r="7" spans="1:11" x14ac:dyDescent="0.2">
      <c r="A7" t="s">
        <v>52</v>
      </c>
      <c r="B7" s="1">
        <v>18.98</v>
      </c>
      <c r="C7" s="1">
        <v>19.45</v>
      </c>
      <c r="D7" s="1">
        <v>19.93</v>
      </c>
      <c r="E7" s="1">
        <v>20.440000000000001</v>
      </c>
      <c r="F7" s="1">
        <v>20.93</v>
      </c>
      <c r="G7" s="1">
        <v>21.48</v>
      </c>
      <c r="H7" s="1">
        <v>22</v>
      </c>
      <c r="I7" s="1">
        <v>22.45</v>
      </c>
      <c r="J7" s="1">
        <v>22.89</v>
      </c>
      <c r="K7" s="1">
        <v>23.35</v>
      </c>
    </row>
    <row r="8" spans="1:11" x14ac:dyDescent="0.2">
      <c r="A8" t="s">
        <v>749</v>
      </c>
      <c r="B8" s="1">
        <v>20.68</v>
      </c>
      <c r="C8" s="1">
        <v>21.19</v>
      </c>
      <c r="D8" s="1">
        <v>21.73</v>
      </c>
      <c r="E8" s="1">
        <v>22.26</v>
      </c>
      <c r="F8" s="1">
        <v>22.82</v>
      </c>
      <c r="G8" s="1">
        <v>23.41</v>
      </c>
      <c r="H8" s="1">
        <v>23.99</v>
      </c>
      <c r="I8" s="1">
        <v>24.46</v>
      </c>
      <c r="J8" s="1">
        <v>24.96</v>
      </c>
      <c r="K8" s="1">
        <v>25.45</v>
      </c>
    </row>
    <row r="9" spans="1:11" x14ac:dyDescent="0.2">
      <c r="A9" t="s">
        <v>748</v>
      </c>
      <c r="B9" s="1">
        <v>22.31</v>
      </c>
      <c r="C9" s="1">
        <v>22.88</v>
      </c>
      <c r="D9" s="1">
        <v>23.46</v>
      </c>
      <c r="E9" s="1">
        <v>24.05</v>
      </c>
      <c r="F9" s="1">
        <v>24.64</v>
      </c>
      <c r="G9" s="1">
        <v>25.25</v>
      </c>
      <c r="H9" s="1">
        <v>25.89</v>
      </c>
      <c r="I9" s="1">
        <v>26.4</v>
      </c>
      <c r="J9" s="1">
        <v>26.94</v>
      </c>
      <c r="K9" s="1">
        <v>27.48</v>
      </c>
    </row>
    <row r="12" spans="1:11" x14ac:dyDescent="0.2">
      <c r="A12" t="s">
        <v>1387</v>
      </c>
      <c r="F12" t="s">
        <v>1386</v>
      </c>
    </row>
    <row r="13" spans="1:11" x14ac:dyDescent="0.2">
      <c r="B13" t="s">
        <v>739</v>
      </c>
    </row>
    <row r="14" spans="1:11" x14ac:dyDescent="0.2">
      <c r="A14" t="s">
        <v>742</v>
      </c>
      <c r="B14">
        <v>1</v>
      </c>
      <c r="C14">
        <v>2</v>
      </c>
      <c r="D14">
        <v>3</v>
      </c>
      <c r="E14">
        <v>4</v>
      </c>
      <c r="F14">
        <v>5</v>
      </c>
      <c r="G14">
        <v>6</v>
      </c>
      <c r="H14">
        <v>7</v>
      </c>
      <c r="I14">
        <v>8</v>
      </c>
      <c r="J14">
        <v>9</v>
      </c>
      <c r="K14">
        <v>10</v>
      </c>
    </row>
    <row r="15" spans="1:11" x14ac:dyDescent="0.2">
      <c r="A15" t="s">
        <v>50</v>
      </c>
      <c r="B15" s="1">
        <v>15.18</v>
      </c>
      <c r="C15" s="1">
        <v>15.56</v>
      </c>
      <c r="D15" s="1">
        <v>15.95</v>
      </c>
      <c r="E15" s="1">
        <v>16.36</v>
      </c>
      <c r="F15" s="1">
        <v>16.739999999999998</v>
      </c>
      <c r="G15" s="1">
        <v>17.18</v>
      </c>
      <c r="H15" s="1">
        <v>17.57</v>
      </c>
      <c r="I15" s="1">
        <v>17.96</v>
      </c>
      <c r="J15" s="1">
        <v>18.309999999999999</v>
      </c>
      <c r="K15" s="1">
        <v>18.690000000000001</v>
      </c>
    </row>
    <row r="16" spans="1:11" x14ac:dyDescent="0.2">
      <c r="A16" t="s">
        <v>51</v>
      </c>
      <c r="B16" s="1">
        <v>17.899999999999999</v>
      </c>
      <c r="C16" s="1">
        <v>18.34</v>
      </c>
      <c r="D16" s="1">
        <v>18.8</v>
      </c>
      <c r="E16" s="1">
        <v>19.27</v>
      </c>
      <c r="F16" s="1">
        <v>19.75</v>
      </c>
      <c r="G16" s="1">
        <v>20.25</v>
      </c>
      <c r="H16" s="1">
        <v>20.77</v>
      </c>
      <c r="I16" s="1">
        <v>21.16</v>
      </c>
      <c r="J16" s="1">
        <v>21.6</v>
      </c>
      <c r="K16" s="1">
        <v>22.04</v>
      </c>
    </row>
    <row r="17" spans="1:11" x14ac:dyDescent="0.2">
      <c r="A17" t="s">
        <v>52</v>
      </c>
      <c r="B17" s="1">
        <v>19.260000000000002</v>
      </c>
      <c r="C17" s="1">
        <v>19.739999999999998</v>
      </c>
      <c r="D17" s="1">
        <v>20.23</v>
      </c>
      <c r="E17" s="1">
        <v>20.75</v>
      </c>
      <c r="F17" s="1">
        <v>21.24</v>
      </c>
      <c r="G17" s="1">
        <v>21.8</v>
      </c>
      <c r="H17" s="1">
        <v>22.33</v>
      </c>
      <c r="I17" s="1">
        <v>22.79</v>
      </c>
      <c r="J17" s="1">
        <v>23.23</v>
      </c>
      <c r="K17" s="1">
        <v>23.7</v>
      </c>
    </row>
    <row r="18" spans="1:11" x14ac:dyDescent="0.2">
      <c r="A18" t="s">
        <v>749</v>
      </c>
      <c r="B18" s="1">
        <v>20.99</v>
      </c>
      <c r="C18" s="1">
        <v>21.51</v>
      </c>
      <c r="D18" s="1">
        <v>22.06</v>
      </c>
      <c r="E18" s="1">
        <v>22.59</v>
      </c>
      <c r="F18" s="1">
        <v>23.16</v>
      </c>
      <c r="G18" s="1">
        <v>23.76</v>
      </c>
      <c r="H18" s="1">
        <v>24.35</v>
      </c>
      <c r="I18" s="1">
        <v>24.83</v>
      </c>
      <c r="J18" s="1">
        <v>25.33</v>
      </c>
      <c r="K18" s="1">
        <v>25.83</v>
      </c>
    </row>
    <row r="19" spans="1:11" x14ac:dyDescent="0.2">
      <c r="A19" t="s">
        <v>748</v>
      </c>
      <c r="B19" s="1">
        <v>22.64</v>
      </c>
      <c r="C19" s="1">
        <v>23.22</v>
      </c>
      <c r="D19" s="1">
        <v>23.81</v>
      </c>
      <c r="E19" s="1">
        <v>24.41</v>
      </c>
      <c r="F19" s="1">
        <v>25.01</v>
      </c>
      <c r="G19" s="1">
        <v>25.63</v>
      </c>
      <c r="H19" s="1">
        <v>26.28</v>
      </c>
      <c r="I19" s="1">
        <v>26.8</v>
      </c>
      <c r="J19" s="1">
        <v>27.34</v>
      </c>
      <c r="K19" s="1">
        <v>27.89</v>
      </c>
    </row>
  </sheetData>
  <hyperlinks>
    <hyperlink ref="A1" location="'Table of Contents'!A1" display="TOC"/>
  </hyperlink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59"/>
  <sheetViews>
    <sheetView workbookViewId="0">
      <selection activeCell="D23" sqref="D23"/>
    </sheetView>
  </sheetViews>
  <sheetFormatPr defaultRowHeight="12.75" x14ac:dyDescent="0.2"/>
  <cols>
    <col min="1" max="1" width="9.33203125" style="150"/>
    <col min="2" max="2" width="9.5" customWidth="1"/>
    <col min="3" max="3" width="9.6640625" customWidth="1"/>
    <col min="4" max="11" width="9.5" bestFit="1" customWidth="1"/>
    <col min="12" max="12" width="8.6640625" customWidth="1"/>
    <col min="13" max="13" width="12.83203125" customWidth="1"/>
  </cols>
  <sheetData>
    <row r="1" spans="1:12" x14ac:dyDescent="0.2">
      <c r="A1" s="390" t="s">
        <v>1620</v>
      </c>
      <c r="G1" s="410" t="s">
        <v>1418</v>
      </c>
    </row>
    <row r="2" spans="1:12" x14ac:dyDescent="0.2">
      <c r="B2" s="87" t="s">
        <v>739</v>
      </c>
    </row>
    <row r="3" spans="1:12" x14ac:dyDescent="0.2">
      <c r="A3" s="296" t="s">
        <v>742</v>
      </c>
      <c r="B3" s="296">
        <v>1</v>
      </c>
      <c r="C3" s="296">
        <v>2</v>
      </c>
      <c r="D3" s="296">
        <v>3</v>
      </c>
      <c r="E3" s="296">
        <v>4</v>
      </c>
      <c r="F3" s="296">
        <v>5</v>
      </c>
      <c r="G3" s="296">
        <v>6</v>
      </c>
      <c r="H3" s="296">
        <v>7</v>
      </c>
      <c r="I3" s="296">
        <v>8</v>
      </c>
      <c r="J3" s="296">
        <v>9</v>
      </c>
      <c r="K3" s="296">
        <v>10</v>
      </c>
      <c r="L3" s="794">
        <v>11</v>
      </c>
    </row>
    <row r="4" spans="1:12" x14ac:dyDescent="0.2">
      <c r="A4" s="297" t="s">
        <v>50</v>
      </c>
      <c r="B4" s="299">
        <f>ROUND((+B26*1),2)</f>
        <v>0</v>
      </c>
      <c r="C4" s="299">
        <f>ROUND((+C26*1.015),2)</f>
        <v>15.26</v>
      </c>
      <c r="D4" s="299">
        <f t="shared" ref="D4:L4" si="0">ROUND((+D26*1.015),2)</f>
        <v>15.63</v>
      </c>
      <c r="E4" s="299">
        <f t="shared" si="0"/>
        <v>16.05</v>
      </c>
      <c r="F4" s="299">
        <f t="shared" si="0"/>
        <v>16.41</v>
      </c>
      <c r="G4" s="299">
        <f t="shared" si="0"/>
        <v>16.84</v>
      </c>
      <c r="H4" s="299">
        <f t="shared" si="0"/>
        <v>17.22</v>
      </c>
      <c r="I4" s="299">
        <f t="shared" si="0"/>
        <v>17.600000000000001</v>
      </c>
      <c r="J4" s="299">
        <f t="shared" si="0"/>
        <v>17.96</v>
      </c>
      <c r="K4" s="299">
        <f t="shared" si="0"/>
        <v>18.32</v>
      </c>
      <c r="L4" s="299">
        <f t="shared" si="0"/>
        <v>18.78</v>
      </c>
    </row>
    <row r="5" spans="1:12" x14ac:dyDescent="0.2">
      <c r="A5" s="297" t="s">
        <v>51</v>
      </c>
      <c r="B5" s="299">
        <f>ROUND((+B27*1),2)</f>
        <v>0</v>
      </c>
      <c r="C5" s="299">
        <f t="shared" ref="C5:L8" si="1">ROUND((+C27*1.015),2)</f>
        <v>17.989999999999998</v>
      </c>
      <c r="D5" s="299">
        <f t="shared" si="1"/>
        <v>18.43</v>
      </c>
      <c r="E5" s="299">
        <f t="shared" si="1"/>
        <v>18.89</v>
      </c>
      <c r="F5" s="299">
        <f t="shared" si="1"/>
        <v>19.37</v>
      </c>
      <c r="G5" s="299">
        <f t="shared" si="1"/>
        <v>19.850000000000001</v>
      </c>
      <c r="H5" s="299">
        <f t="shared" si="1"/>
        <v>20.36</v>
      </c>
      <c r="I5" s="299">
        <f t="shared" si="1"/>
        <v>20.75</v>
      </c>
      <c r="J5" s="299">
        <f t="shared" si="1"/>
        <v>21.18</v>
      </c>
      <c r="K5" s="299">
        <f t="shared" si="1"/>
        <v>21.6</v>
      </c>
      <c r="L5" s="299">
        <f t="shared" si="1"/>
        <v>22.14</v>
      </c>
    </row>
    <row r="6" spans="1:12" x14ac:dyDescent="0.2">
      <c r="A6" s="297" t="s">
        <v>52</v>
      </c>
      <c r="B6" s="299">
        <f>ROUND((+B28*1),2)</f>
        <v>0</v>
      </c>
      <c r="C6" s="299">
        <f t="shared" si="1"/>
        <v>19.36</v>
      </c>
      <c r="D6" s="299">
        <f t="shared" si="1"/>
        <v>19.829999999999998</v>
      </c>
      <c r="E6" s="299">
        <f t="shared" si="1"/>
        <v>20.34</v>
      </c>
      <c r="F6" s="299">
        <f t="shared" si="1"/>
        <v>20.83</v>
      </c>
      <c r="G6" s="299">
        <f t="shared" si="1"/>
        <v>21.38</v>
      </c>
      <c r="H6" s="299">
        <f t="shared" si="1"/>
        <v>21.88</v>
      </c>
      <c r="I6" s="299">
        <f t="shared" si="1"/>
        <v>22.34</v>
      </c>
      <c r="J6" s="299">
        <f t="shared" si="1"/>
        <v>22.78</v>
      </c>
      <c r="K6" s="299">
        <f t="shared" si="1"/>
        <v>23.23</v>
      </c>
      <c r="L6" s="299">
        <f t="shared" si="1"/>
        <v>23.81</v>
      </c>
    </row>
    <row r="7" spans="1:12" x14ac:dyDescent="0.2">
      <c r="A7" s="297" t="s">
        <v>749</v>
      </c>
      <c r="B7" s="299">
        <f>ROUND((+B29*1),2)</f>
        <v>0</v>
      </c>
      <c r="C7" s="299">
        <f t="shared" si="1"/>
        <v>21.09</v>
      </c>
      <c r="D7" s="299">
        <f t="shared" si="1"/>
        <v>21.62</v>
      </c>
      <c r="E7" s="299">
        <f t="shared" si="1"/>
        <v>22.16</v>
      </c>
      <c r="F7" s="299">
        <f t="shared" si="1"/>
        <v>22.71</v>
      </c>
      <c r="G7" s="299">
        <f t="shared" si="1"/>
        <v>23.29</v>
      </c>
      <c r="H7" s="299">
        <f t="shared" si="1"/>
        <v>23.87</v>
      </c>
      <c r="I7" s="299">
        <f t="shared" si="1"/>
        <v>24.34</v>
      </c>
      <c r="J7" s="299">
        <f t="shared" si="1"/>
        <v>24.84</v>
      </c>
      <c r="K7" s="299">
        <f t="shared" si="1"/>
        <v>25.32</v>
      </c>
      <c r="L7" s="299">
        <f t="shared" si="1"/>
        <v>25.95</v>
      </c>
    </row>
    <row r="8" spans="1:12" x14ac:dyDescent="0.2">
      <c r="A8" s="297" t="s">
        <v>748</v>
      </c>
      <c r="B8" s="299">
        <f>ROUND((+B30*1),2)</f>
        <v>0</v>
      </c>
      <c r="C8" s="299">
        <f t="shared" si="1"/>
        <v>22.77</v>
      </c>
      <c r="D8" s="299">
        <f t="shared" si="1"/>
        <v>23.35</v>
      </c>
      <c r="E8" s="299">
        <f t="shared" si="1"/>
        <v>23.92</v>
      </c>
      <c r="F8" s="299">
        <f t="shared" si="1"/>
        <v>24.52</v>
      </c>
      <c r="G8" s="299">
        <f t="shared" si="1"/>
        <v>25.13</v>
      </c>
      <c r="H8" s="299">
        <f t="shared" si="1"/>
        <v>25.76</v>
      </c>
      <c r="I8" s="299">
        <f t="shared" si="1"/>
        <v>26.28</v>
      </c>
      <c r="J8" s="299">
        <f t="shared" si="1"/>
        <v>26.81</v>
      </c>
      <c r="K8" s="299">
        <f t="shared" si="1"/>
        <v>27.34</v>
      </c>
      <c r="L8" s="299">
        <f t="shared" si="1"/>
        <v>28.02</v>
      </c>
    </row>
    <row r="9" spans="1:12" x14ac:dyDescent="0.2">
      <c r="A9" s="297" t="s">
        <v>747</v>
      </c>
      <c r="B9" s="391">
        <f>ROUND((+B31*1),0)</f>
        <v>0</v>
      </c>
      <c r="C9" s="792">
        <f>ROUND((+C31*1.015),0)</f>
        <v>57643</v>
      </c>
      <c r="D9" s="792">
        <f t="shared" ref="D9:L9" si="2">ROUND((+D31*1.015),0)</f>
        <v>59082</v>
      </c>
      <c r="E9" s="792">
        <f t="shared" si="2"/>
        <v>60560</v>
      </c>
      <c r="F9" s="792">
        <f t="shared" si="2"/>
        <v>62074</v>
      </c>
      <c r="G9" s="792">
        <f t="shared" si="2"/>
        <v>63627</v>
      </c>
      <c r="H9" s="792">
        <f t="shared" si="2"/>
        <v>64898</v>
      </c>
      <c r="I9" s="792">
        <f t="shared" si="2"/>
        <v>66197</v>
      </c>
      <c r="J9" s="792">
        <f t="shared" si="2"/>
        <v>67520</v>
      </c>
      <c r="K9" s="792">
        <f t="shared" si="2"/>
        <v>68870</v>
      </c>
      <c r="L9" s="792">
        <f t="shared" si="2"/>
        <v>70591</v>
      </c>
    </row>
    <row r="10" spans="1:12" x14ac:dyDescent="0.2">
      <c r="A10" s="297" t="s">
        <v>746</v>
      </c>
      <c r="B10" s="391">
        <f>ROUND((+B32*1),0)</f>
        <v>0</v>
      </c>
      <c r="C10" s="792">
        <f>ROUND((+C32*1.015),0)</f>
        <v>61251</v>
      </c>
      <c r="D10" s="792">
        <f t="shared" ref="D10:L10" si="3">ROUND((+D32*1.015),0)</f>
        <v>62783</v>
      </c>
      <c r="E10" s="792">
        <f t="shared" si="3"/>
        <v>64352</v>
      </c>
      <c r="F10" s="792">
        <f t="shared" si="3"/>
        <v>65960</v>
      </c>
      <c r="G10" s="792">
        <f t="shared" si="3"/>
        <v>67610</v>
      </c>
      <c r="H10" s="792">
        <f t="shared" si="3"/>
        <v>68963</v>
      </c>
      <c r="I10" s="792">
        <f t="shared" si="3"/>
        <v>70341</v>
      </c>
      <c r="J10" s="792">
        <f t="shared" si="3"/>
        <v>71748</v>
      </c>
      <c r="K10" s="792">
        <f t="shared" si="3"/>
        <v>73184</v>
      </c>
      <c r="L10" s="792">
        <f t="shared" si="3"/>
        <v>75014</v>
      </c>
    </row>
    <row r="11" spans="1:12" x14ac:dyDescent="0.2">
      <c r="A11" s="379" t="s">
        <v>1221</v>
      </c>
      <c r="B11" s="732"/>
      <c r="C11" s="732"/>
      <c r="D11" s="732"/>
      <c r="E11" s="732"/>
      <c r="F11" s="732"/>
      <c r="G11" s="733">
        <f>+ROUND((((+G10*1.085)/$B$21)/37.69),2)</f>
        <v>37.29</v>
      </c>
      <c r="H11" s="733">
        <f t="shared" ref="H11:L11" si="4">+ROUND((((+H10*1.085)/$B$21)/37.69),2)</f>
        <v>38.03</v>
      </c>
      <c r="I11" s="733">
        <f t="shared" si="4"/>
        <v>38.79</v>
      </c>
      <c r="J11" s="733">
        <f t="shared" si="4"/>
        <v>39.57</v>
      </c>
      <c r="K11" s="733">
        <f t="shared" si="4"/>
        <v>40.36</v>
      </c>
      <c r="L11" s="733">
        <f t="shared" si="4"/>
        <v>41.37</v>
      </c>
    </row>
    <row r="12" spans="1:12" x14ac:dyDescent="0.2">
      <c r="A12" s="297" t="s">
        <v>745</v>
      </c>
      <c r="B12" s="391">
        <f>ROUND((+B34*1),0)</f>
        <v>0</v>
      </c>
      <c r="C12" s="792">
        <f t="shared" ref="C12:L14" si="5">ROUND((+C34*1.015),0)</f>
        <v>77854</v>
      </c>
      <c r="D12" s="792">
        <f t="shared" si="5"/>
        <v>79799</v>
      </c>
      <c r="E12" s="792">
        <f t="shared" si="5"/>
        <v>81797</v>
      </c>
      <c r="F12" s="792">
        <f t="shared" si="5"/>
        <v>83841</v>
      </c>
      <c r="G12" s="792">
        <f t="shared" si="5"/>
        <v>85938</v>
      </c>
      <c r="H12" s="792">
        <f t="shared" si="5"/>
        <v>88086</v>
      </c>
      <c r="I12" s="792">
        <f t="shared" si="5"/>
        <v>89848</v>
      </c>
      <c r="J12" s="792">
        <f t="shared" si="5"/>
        <v>91643</v>
      </c>
      <c r="K12" s="792">
        <f t="shared" si="5"/>
        <v>93476</v>
      </c>
      <c r="L12" s="792">
        <f t="shared" si="5"/>
        <v>95813</v>
      </c>
    </row>
    <row r="13" spans="1:12" x14ac:dyDescent="0.2">
      <c r="A13" s="297" t="s">
        <v>744</v>
      </c>
      <c r="B13" s="391">
        <f>ROUND((+B35*1),0)</f>
        <v>0</v>
      </c>
      <c r="C13" s="792">
        <f t="shared" si="5"/>
        <v>85639</v>
      </c>
      <c r="D13" s="792">
        <f t="shared" si="5"/>
        <v>87781</v>
      </c>
      <c r="E13" s="792">
        <f t="shared" si="5"/>
        <v>89976</v>
      </c>
      <c r="F13" s="792">
        <f t="shared" si="5"/>
        <v>92224</v>
      </c>
      <c r="G13" s="792">
        <f t="shared" si="5"/>
        <v>94529</v>
      </c>
      <c r="H13" s="792">
        <f t="shared" si="5"/>
        <v>96892</v>
      </c>
      <c r="I13" s="792">
        <f t="shared" si="5"/>
        <v>98832</v>
      </c>
      <c r="J13" s="792">
        <f t="shared" si="5"/>
        <v>100807</v>
      </c>
      <c r="K13" s="792">
        <f t="shared" si="5"/>
        <v>102824</v>
      </c>
      <c r="L13" s="792">
        <f t="shared" si="5"/>
        <v>105395</v>
      </c>
    </row>
    <row r="14" spans="1:12" x14ac:dyDescent="0.2">
      <c r="A14" s="297" t="s">
        <v>743</v>
      </c>
      <c r="B14" s="391">
        <f>ROUND((+B36*1),0)</f>
        <v>0</v>
      </c>
      <c r="C14" s="792">
        <f t="shared" si="5"/>
        <v>94203</v>
      </c>
      <c r="D14" s="792">
        <f t="shared" si="5"/>
        <v>96560</v>
      </c>
      <c r="E14" s="792">
        <f t="shared" si="5"/>
        <v>98973</v>
      </c>
      <c r="F14" s="792">
        <f t="shared" si="5"/>
        <v>101447</v>
      </c>
      <c r="G14" s="792">
        <f t="shared" si="5"/>
        <v>103984</v>
      </c>
      <c r="H14" s="792">
        <f t="shared" si="5"/>
        <v>106583</v>
      </c>
      <c r="I14" s="792">
        <f t="shared" si="5"/>
        <v>108713</v>
      </c>
      <c r="J14" s="792">
        <f t="shared" si="5"/>
        <v>110889</v>
      </c>
      <c r="K14" s="792">
        <f t="shared" si="5"/>
        <v>113107</v>
      </c>
      <c r="L14" s="792">
        <f t="shared" si="5"/>
        <v>115934</v>
      </c>
    </row>
    <row r="16" spans="1:12" x14ac:dyDescent="0.2">
      <c r="A16" s="297" t="s">
        <v>33</v>
      </c>
      <c r="B16" s="367" t="s">
        <v>1223</v>
      </c>
      <c r="C16" s="130"/>
      <c r="D16" s="130"/>
      <c r="E16" s="130"/>
    </row>
    <row r="17" spans="1:12" x14ac:dyDescent="0.2">
      <c r="A17" s="296" t="s">
        <v>742</v>
      </c>
      <c r="B17" s="296">
        <v>1</v>
      </c>
      <c r="C17" s="296">
        <v>2</v>
      </c>
      <c r="D17" s="296">
        <v>3</v>
      </c>
      <c r="E17" s="296">
        <v>4</v>
      </c>
      <c r="F17" s="296">
        <v>5</v>
      </c>
      <c r="G17" s="296">
        <v>6</v>
      </c>
      <c r="H17" s="296">
        <v>7</v>
      </c>
      <c r="I17" s="296">
        <v>8</v>
      </c>
      <c r="J17" s="296">
        <v>9</v>
      </c>
      <c r="K17" s="296">
        <v>10</v>
      </c>
      <c r="L17" s="296">
        <v>11</v>
      </c>
    </row>
    <row r="18" spans="1:12" x14ac:dyDescent="0.2">
      <c r="A18" s="379" t="s">
        <v>886</v>
      </c>
      <c r="B18" s="1">
        <f>ROUND((+B9/1827),2)</f>
        <v>0</v>
      </c>
      <c r="C18" s="1">
        <f>ROUND((+C9/1827),2)</f>
        <v>31.55</v>
      </c>
      <c r="D18" s="1">
        <f t="shared" ref="D18:L18" si="6">ROUND((+D9/1827),2)</f>
        <v>32.340000000000003</v>
      </c>
      <c r="E18" s="1">
        <f t="shared" si="6"/>
        <v>33.15</v>
      </c>
      <c r="F18" s="1">
        <f t="shared" si="6"/>
        <v>33.979999999999997</v>
      </c>
      <c r="G18" s="1">
        <f t="shared" si="6"/>
        <v>34.83</v>
      </c>
      <c r="H18" s="1">
        <f t="shared" si="6"/>
        <v>35.520000000000003</v>
      </c>
      <c r="I18" s="1">
        <f t="shared" si="6"/>
        <v>36.229999999999997</v>
      </c>
      <c r="J18" s="1">
        <f t="shared" si="6"/>
        <v>36.96</v>
      </c>
      <c r="K18" s="1">
        <f t="shared" si="6"/>
        <v>37.700000000000003</v>
      </c>
      <c r="L18" s="1">
        <f t="shared" si="6"/>
        <v>38.64</v>
      </c>
    </row>
    <row r="19" spans="1:12" x14ac:dyDescent="0.2">
      <c r="A19" s="379" t="s">
        <v>1021</v>
      </c>
      <c r="B19" s="1">
        <f>ROUND((+B9/2090),2)</f>
        <v>0</v>
      </c>
      <c r="C19" s="1">
        <f>ROUND((+C9/2090),2)</f>
        <v>27.58</v>
      </c>
      <c r="D19" s="1">
        <f t="shared" ref="D19:L19" si="7">ROUND((+D9/2090),2)</f>
        <v>28.27</v>
      </c>
      <c r="E19" s="1">
        <f t="shared" si="7"/>
        <v>28.98</v>
      </c>
      <c r="F19" s="1">
        <f t="shared" si="7"/>
        <v>29.7</v>
      </c>
      <c r="G19" s="1">
        <f t="shared" si="7"/>
        <v>30.44</v>
      </c>
      <c r="H19" s="1">
        <f t="shared" si="7"/>
        <v>31.05</v>
      </c>
      <c r="I19" s="1">
        <f t="shared" si="7"/>
        <v>31.67</v>
      </c>
      <c r="J19" s="1">
        <f t="shared" si="7"/>
        <v>32.31</v>
      </c>
      <c r="K19" s="1">
        <f t="shared" si="7"/>
        <v>32.950000000000003</v>
      </c>
      <c r="L19" s="1">
        <f t="shared" si="7"/>
        <v>33.78</v>
      </c>
    </row>
    <row r="20" spans="1:12" x14ac:dyDescent="0.2">
      <c r="A20" s="379" t="s">
        <v>1022</v>
      </c>
      <c r="B20" s="1">
        <f>ROUND((+B9/2088),2)</f>
        <v>0</v>
      </c>
      <c r="C20" s="1">
        <f>ROUND((+C9/2088),2)</f>
        <v>27.61</v>
      </c>
      <c r="D20" s="1">
        <f t="shared" ref="D20:L20" si="8">ROUND((+D9/2088),2)</f>
        <v>28.3</v>
      </c>
      <c r="E20" s="1">
        <f t="shared" si="8"/>
        <v>29</v>
      </c>
      <c r="F20" s="1">
        <f t="shared" si="8"/>
        <v>29.73</v>
      </c>
      <c r="G20" s="1">
        <f t="shared" si="8"/>
        <v>30.47</v>
      </c>
      <c r="H20" s="1">
        <f t="shared" si="8"/>
        <v>31.08</v>
      </c>
      <c r="I20" s="1">
        <f t="shared" si="8"/>
        <v>31.7</v>
      </c>
      <c r="J20" s="1">
        <f t="shared" si="8"/>
        <v>32.340000000000003</v>
      </c>
      <c r="K20" s="1">
        <f t="shared" si="8"/>
        <v>32.979999999999997</v>
      </c>
      <c r="L20" s="1">
        <f t="shared" si="8"/>
        <v>33.81</v>
      </c>
    </row>
    <row r="21" spans="1:12" x14ac:dyDescent="0.2">
      <c r="A21" s="150" t="s">
        <v>979</v>
      </c>
      <c r="B21">
        <v>52.2</v>
      </c>
      <c r="C21" s="254" t="s">
        <v>1222</v>
      </c>
      <c r="G21" s="74"/>
      <c r="H21" s="74"/>
      <c r="I21" s="74"/>
      <c r="J21" s="74"/>
      <c r="K21" s="74"/>
    </row>
    <row r="23" spans="1:12" x14ac:dyDescent="0.2">
      <c r="A23" s="390" t="s">
        <v>1621</v>
      </c>
    </row>
    <row r="24" spans="1:12" x14ac:dyDescent="0.2">
      <c r="B24" s="87" t="s">
        <v>739</v>
      </c>
      <c r="L24" s="484" t="s">
        <v>1328</v>
      </c>
    </row>
    <row r="25" spans="1:12" x14ac:dyDescent="0.2">
      <c r="A25" s="296" t="s">
        <v>742</v>
      </c>
      <c r="B25" s="296">
        <v>1</v>
      </c>
      <c r="C25" s="296">
        <v>2</v>
      </c>
      <c r="D25" s="296">
        <v>3</v>
      </c>
      <c r="E25" s="296">
        <v>4</v>
      </c>
      <c r="F25" s="296">
        <v>5</v>
      </c>
      <c r="G25" s="296">
        <v>6</v>
      </c>
      <c r="H25" s="296">
        <v>7</v>
      </c>
      <c r="I25" s="296">
        <v>8</v>
      </c>
      <c r="J25" s="296">
        <v>9</v>
      </c>
      <c r="K25" s="296">
        <v>10</v>
      </c>
      <c r="L25" s="794">
        <v>11</v>
      </c>
    </row>
    <row r="26" spans="1:12" x14ac:dyDescent="0.2">
      <c r="A26" s="297" t="s">
        <v>50</v>
      </c>
      <c r="B26" s="299"/>
      <c r="C26" s="299">
        <f t="shared" ref="C26:K26" si="9">ROUND((+C48*1.01),2)</f>
        <v>15.03</v>
      </c>
      <c r="D26" s="299">
        <f t="shared" si="9"/>
        <v>15.4</v>
      </c>
      <c r="E26" s="299">
        <f t="shared" si="9"/>
        <v>15.81</v>
      </c>
      <c r="F26" s="299">
        <f t="shared" si="9"/>
        <v>16.170000000000002</v>
      </c>
      <c r="G26" s="299">
        <f t="shared" si="9"/>
        <v>16.59</v>
      </c>
      <c r="H26" s="299">
        <f t="shared" si="9"/>
        <v>16.97</v>
      </c>
      <c r="I26" s="299">
        <f t="shared" si="9"/>
        <v>17.34</v>
      </c>
      <c r="J26" s="299">
        <f t="shared" si="9"/>
        <v>17.690000000000001</v>
      </c>
      <c r="K26" s="299">
        <f t="shared" si="9"/>
        <v>18.05</v>
      </c>
      <c r="L26" s="795">
        <f>ROUND((+K26*1.025),2)</f>
        <v>18.5</v>
      </c>
    </row>
    <row r="27" spans="1:12" x14ac:dyDescent="0.2">
      <c r="A27" s="297" t="s">
        <v>51</v>
      </c>
      <c r="B27" s="299"/>
      <c r="C27" s="299">
        <f t="shared" ref="C27:K30" si="10">ROUND((+C49*1.01),2)</f>
        <v>17.72</v>
      </c>
      <c r="D27" s="299">
        <f t="shared" si="10"/>
        <v>18.16</v>
      </c>
      <c r="E27" s="299">
        <f t="shared" si="10"/>
        <v>18.61</v>
      </c>
      <c r="F27" s="299">
        <f t="shared" si="10"/>
        <v>19.079999999999998</v>
      </c>
      <c r="G27" s="299">
        <f t="shared" si="10"/>
        <v>19.559999999999999</v>
      </c>
      <c r="H27" s="299">
        <f t="shared" si="10"/>
        <v>20.059999999999999</v>
      </c>
      <c r="I27" s="299">
        <f t="shared" si="10"/>
        <v>20.440000000000001</v>
      </c>
      <c r="J27" s="299">
        <f t="shared" si="10"/>
        <v>20.87</v>
      </c>
      <c r="K27" s="299">
        <f t="shared" si="10"/>
        <v>21.28</v>
      </c>
      <c r="L27" s="795">
        <f t="shared" ref="L27:L30" si="11">ROUND((+K27*1.025),2)</f>
        <v>21.81</v>
      </c>
    </row>
    <row r="28" spans="1:12" x14ac:dyDescent="0.2">
      <c r="A28" s="297" t="s">
        <v>52</v>
      </c>
      <c r="B28" s="299"/>
      <c r="C28" s="299">
        <f t="shared" si="10"/>
        <v>19.07</v>
      </c>
      <c r="D28" s="299">
        <f t="shared" si="10"/>
        <v>19.54</v>
      </c>
      <c r="E28" s="299">
        <f t="shared" si="10"/>
        <v>20.04</v>
      </c>
      <c r="F28" s="299">
        <f t="shared" si="10"/>
        <v>20.52</v>
      </c>
      <c r="G28" s="299">
        <f t="shared" si="10"/>
        <v>21.06</v>
      </c>
      <c r="H28" s="299">
        <f t="shared" si="10"/>
        <v>21.56</v>
      </c>
      <c r="I28" s="299">
        <f t="shared" si="10"/>
        <v>22.01</v>
      </c>
      <c r="J28" s="299">
        <f t="shared" si="10"/>
        <v>22.44</v>
      </c>
      <c r="K28" s="299">
        <f t="shared" si="10"/>
        <v>22.89</v>
      </c>
      <c r="L28" s="795">
        <f t="shared" si="11"/>
        <v>23.46</v>
      </c>
    </row>
    <row r="29" spans="1:12" x14ac:dyDescent="0.2">
      <c r="A29" s="297" t="s">
        <v>749</v>
      </c>
      <c r="B29" s="299"/>
      <c r="C29" s="299">
        <f t="shared" si="10"/>
        <v>20.78</v>
      </c>
      <c r="D29" s="299">
        <f t="shared" si="10"/>
        <v>21.3</v>
      </c>
      <c r="E29" s="299">
        <f t="shared" si="10"/>
        <v>21.83</v>
      </c>
      <c r="F29" s="299">
        <f t="shared" si="10"/>
        <v>22.37</v>
      </c>
      <c r="G29" s="299">
        <f t="shared" si="10"/>
        <v>22.95</v>
      </c>
      <c r="H29" s="299">
        <f t="shared" si="10"/>
        <v>23.52</v>
      </c>
      <c r="I29" s="299">
        <f t="shared" si="10"/>
        <v>23.98</v>
      </c>
      <c r="J29" s="299">
        <f t="shared" si="10"/>
        <v>24.47</v>
      </c>
      <c r="K29" s="299">
        <f t="shared" si="10"/>
        <v>24.95</v>
      </c>
      <c r="L29" s="795">
        <f t="shared" si="11"/>
        <v>25.57</v>
      </c>
    </row>
    <row r="30" spans="1:12" x14ac:dyDescent="0.2">
      <c r="A30" s="297" t="s">
        <v>748</v>
      </c>
      <c r="B30" s="299"/>
      <c r="C30" s="299">
        <f t="shared" si="10"/>
        <v>22.43</v>
      </c>
      <c r="D30" s="299">
        <f t="shared" si="10"/>
        <v>23</v>
      </c>
      <c r="E30" s="299">
        <f t="shared" si="10"/>
        <v>23.57</v>
      </c>
      <c r="F30" s="299">
        <f t="shared" si="10"/>
        <v>24.16</v>
      </c>
      <c r="G30" s="299">
        <f t="shared" si="10"/>
        <v>24.76</v>
      </c>
      <c r="H30" s="299">
        <f t="shared" si="10"/>
        <v>25.38</v>
      </c>
      <c r="I30" s="299">
        <f t="shared" si="10"/>
        <v>25.89</v>
      </c>
      <c r="J30" s="299">
        <f t="shared" si="10"/>
        <v>26.41</v>
      </c>
      <c r="K30" s="299">
        <f t="shared" si="10"/>
        <v>26.94</v>
      </c>
      <c r="L30" s="795">
        <f t="shared" si="11"/>
        <v>27.61</v>
      </c>
    </row>
    <row r="31" spans="1:12" x14ac:dyDescent="0.2">
      <c r="A31" s="297" t="s">
        <v>747</v>
      </c>
      <c r="B31" s="792"/>
      <c r="C31" s="792">
        <f>ROUND((+C53*1.01),0)</f>
        <v>56791</v>
      </c>
      <c r="D31" s="792">
        <f t="shared" ref="D31:K31" si="12">ROUND((+D53*1.01),0)</f>
        <v>58209</v>
      </c>
      <c r="E31" s="792">
        <f t="shared" si="12"/>
        <v>59665</v>
      </c>
      <c r="F31" s="792">
        <f t="shared" si="12"/>
        <v>61157</v>
      </c>
      <c r="G31" s="792">
        <f t="shared" si="12"/>
        <v>62687</v>
      </c>
      <c r="H31" s="792">
        <f t="shared" si="12"/>
        <v>63939</v>
      </c>
      <c r="I31" s="792">
        <f t="shared" si="12"/>
        <v>65219</v>
      </c>
      <c r="J31" s="792">
        <f t="shared" si="12"/>
        <v>66522</v>
      </c>
      <c r="K31" s="792">
        <f t="shared" si="12"/>
        <v>67852</v>
      </c>
      <c r="L31" s="796">
        <f>ROUND((+K31*1.025),0)</f>
        <v>69548</v>
      </c>
    </row>
    <row r="32" spans="1:12" x14ac:dyDescent="0.2">
      <c r="A32" s="297" t="s">
        <v>746</v>
      </c>
      <c r="B32" s="792"/>
      <c r="C32" s="792">
        <f>ROUND((+C54*1.01),0)</f>
        <v>60346</v>
      </c>
      <c r="D32" s="792">
        <f t="shared" ref="D32:K32" si="13">ROUND((+D54*1.01),0)</f>
        <v>61855</v>
      </c>
      <c r="E32" s="792">
        <f t="shared" si="13"/>
        <v>63401</v>
      </c>
      <c r="F32" s="792">
        <f t="shared" si="13"/>
        <v>64985</v>
      </c>
      <c r="G32" s="792">
        <f t="shared" si="13"/>
        <v>66611</v>
      </c>
      <c r="H32" s="792">
        <f t="shared" si="13"/>
        <v>67944</v>
      </c>
      <c r="I32" s="792">
        <f t="shared" si="13"/>
        <v>69301</v>
      </c>
      <c r="J32" s="792">
        <f t="shared" si="13"/>
        <v>70688</v>
      </c>
      <c r="K32" s="792">
        <f t="shared" si="13"/>
        <v>72102</v>
      </c>
      <c r="L32" s="796">
        <f>ROUND((+K32*1.025),0)</f>
        <v>73905</v>
      </c>
    </row>
    <row r="33" spans="1:12" x14ac:dyDescent="0.2">
      <c r="A33" s="379" t="s">
        <v>1221</v>
      </c>
      <c r="B33" s="793"/>
      <c r="C33" s="793">
        <f t="shared" ref="C33:F33" si="14">+ROUND((((+C32*1.085)/$B$43)/37.69),2)</f>
        <v>33.15</v>
      </c>
      <c r="D33" s="793">
        <f t="shared" si="14"/>
        <v>33.979999999999997</v>
      </c>
      <c r="E33" s="793">
        <f t="shared" si="14"/>
        <v>34.83</v>
      </c>
      <c r="F33" s="793">
        <f t="shared" si="14"/>
        <v>35.700000000000003</v>
      </c>
      <c r="G33" s="733">
        <f t="shared" ref="G33:L33" si="15">+ROUND((((+G32*1.085)/$B$43)/37.69),2)</f>
        <v>36.590000000000003</v>
      </c>
      <c r="H33" s="733">
        <f t="shared" si="15"/>
        <v>37.33</v>
      </c>
      <c r="I33" s="733">
        <f t="shared" si="15"/>
        <v>38.07</v>
      </c>
      <c r="J33" s="733">
        <f t="shared" si="15"/>
        <v>38.83</v>
      </c>
      <c r="K33" s="733">
        <f t="shared" si="15"/>
        <v>39.61</v>
      </c>
      <c r="L33" s="733">
        <f t="shared" si="15"/>
        <v>40.6</v>
      </c>
    </row>
    <row r="34" spans="1:12" x14ac:dyDescent="0.2">
      <c r="A34" s="297" t="s">
        <v>745</v>
      </c>
      <c r="B34" s="792"/>
      <c r="C34" s="792">
        <f t="shared" ref="C34:C36" si="16">ROUND((+C56*1.01),0)</f>
        <v>76703</v>
      </c>
      <c r="D34" s="792">
        <f t="shared" ref="D34:K34" si="17">ROUND((+D56*1.01),0)</f>
        <v>78620</v>
      </c>
      <c r="E34" s="792">
        <f t="shared" si="17"/>
        <v>80588</v>
      </c>
      <c r="F34" s="792">
        <f t="shared" si="17"/>
        <v>82602</v>
      </c>
      <c r="G34" s="792">
        <f t="shared" si="17"/>
        <v>84668</v>
      </c>
      <c r="H34" s="792">
        <f t="shared" si="17"/>
        <v>86784</v>
      </c>
      <c r="I34" s="792">
        <f t="shared" si="17"/>
        <v>88520</v>
      </c>
      <c r="J34" s="792">
        <f t="shared" si="17"/>
        <v>90289</v>
      </c>
      <c r="K34" s="792">
        <f t="shared" si="17"/>
        <v>92095</v>
      </c>
      <c r="L34" s="796">
        <f t="shared" ref="L34:L36" si="18">ROUND((+K34*1.025),0)</f>
        <v>94397</v>
      </c>
    </row>
    <row r="35" spans="1:12" x14ac:dyDescent="0.2">
      <c r="A35" s="297" t="s">
        <v>744</v>
      </c>
      <c r="B35" s="792"/>
      <c r="C35" s="792">
        <f t="shared" si="16"/>
        <v>84373</v>
      </c>
      <c r="D35" s="792">
        <f t="shared" ref="D35:K35" si="19">ROUND((+D57*1.01),0)</f>
        <v>86484</v>
      </c>
      <c r="E35" s="792">
        <f t="shared" si="19"/>
        <v>88646</v>
      </c>
      <c r="F35" s="792">
        <f t="shared" si="19"/>
        <v>90861</v>
      </c>
      <c r="G35" s="792">
        <f t="shared" si="19"/>
        <v>93132</v>
      </c>
      <c r="H35" s="792">
        <f t="shared" si="19"/>
        <v>95460</v>
      </c>
      <c r="I35" s="792">
        <f t="shared" si="19"/>
        <v>97371</v>
      </c>
      <c r="J35" s="792">
        <f t="shared" si="19"/>
        <v>99317</v>
      </c>
      <c r="K35" s="792">
        <f t="shared" si="19"/>
        <v>101304</v>
      </c>
      <c r="L35" s="796">
        <f t="shared" si="18"/>
        <v>103837</v>
      </c>
    </row>
    <row r="36" spans="1:12" x14ac:dyDescent="0.2">
      <c r="A36" s="297" t="s">
        <v>743</v>
      </c>
      <c r="B36" s="792"/>
      <c r="C36" s="792">
        <f t="shared" si="16"/>
        <v>92811</v>
      </c>
      <c r="D36" s="792">
        <f t="shared" ref="D36:K36" si="20">ROUND((+D58*1.01),0)</f>
        <v>95133</v>
      </c>
      <c r="E36" s="792">
        <f t="shared" si="20"/>
        <v>97510</v>
      </c>
      <c r="F36" s="792">
        <f t="shared" si="20"/>
        <v>99948</v>
      </c>
      <c r="G36" s="792">
        <f t="shared" si="20"/>
        <v>102447</v>
      </c>
      <c r="H36" s="792">
        <f t="shared" si="20"/>
        <v>105008</v>
      </c>
      <c r="I36" s="792">
        <f t="shared" si="20"/>
        <v>107106</v>
      </c>
      <c r="J36" s="792">
        <f t="shared" si="20"/>
        <v>109250</v>
      </c>
      <c r="K36" s="792">
        <f t="shared" si="20"/>
        <v>111435</v>
      </c>
      <c r="L36" s="796">
        <f t="shared" si="18"/>
        <v>114221</v>
      </c>
    </row>
    <row r="38" spans="1:12" x14ac:dyDescent="0.2">
      <c r="A38" s="297" t="s">
        <v>33</v>
      </c>
      <c r="B38" s="367" t="s">
        <v>1223</v>
      </c>
      <c r="C38" s="130"/>
      <c r="D38" s="130"/>
      <c r="E38" s="130"/>
    </row>
    <row r="39" spans="1:12" x14ac:dyDescent="0.2">
      <c r="A39" s="296" t="s">
        <v>742</v>
      </c>
      <c r="B39" s="296">
        <v>1</v>
      </c>
      <c r="C39" s="296">
        <v>2</v>
      </c>
      <c r="D39" s="296">
        <v>3</v>
      </c>
      <c r="E39" s="296">
        <v>4</v>
      </c>
      <c r="F39" s="296">
        <v>5</v>
      </c>
      <c r="G39" s="296">
        <v>6</v>
      </c>
      <c r="H39" s="296">
        <v>7</v>
      </c>
      <c r="I39" s="296">
        <v>8</v>
      </c>
      <c r="J39" s="296">
        <v>9</v>
      </c>
      <c r="K39" s="296">
        <v>10</v>
      </c>
    </row>
    <row r="40" spans="1:12" x14ac:dyDescent="0.2">
      <c r="A40" s="379" t="s">
        <v>886</v>
      </c>
      <c r="B40" s="1">
        <f>ROUND((+B31/1834),2)</f>
        <v>0</v>
      </c>
      <c r="C40" s="1">
        <f>ROUND((+C31/1834),2)</f>
        <v>30.97</v>
      </c>
      <c r="D40" s="1">
        <f t="shared" ref="D40:L40" si="21">ROUND((+D31/1834),2)</f>
        <v>31.74</v>
      </c>
      <c r="E40" s="1">
        <f t="shared" si="21"/>
        <v>32.53</v>
      </c>
      <c r="F40" s="1">
        <f t="shared" si="21"/>
        <v>33.35</v>
      </c>
      <c r="G40" s="1">
        <f t="shared" si="21"/>
        <v>34.18</v>
      </c>
      <c r="H40" s="1">
        <f t="shared" si="21"/>
        <v>34.86</v>
      </c>
      <c r="I40" s="1">
        <f t="shared" si="21"/>
        <v>35.56</v>
      </c>
      <c r="J40" s="1">
        <f t="shared" si="21"/>
        <v>36.270000000000003</v>
      </c>
      <c r="K40" s="1">
        <f t="shared" si="21"/>
        <v>37</v>
      </c>
      <c r="L40" s="1">
        <f t="shared" si="21"/>
        <v>37.92</v>
      </c>
    </row>
    <row r="41" spans="1:12" x14ac:dyDescent="0.2">
      <c r="A41" s="379" t="s">
        <v>1021</v>
      </c>
      <c r="B41" s="1">
        <f>ROUND((+B31/2100),2)</f>
        <v>0</v>
      </c>
      <c r="C41" s="1">
        <f t="shared" ref="C41:L41" si="22">ROUND((+C31/2100),2)</f>
        <v>27.04</v>
      </c>
      <c r="D41" s="1">
        <f t="shared" si="22"/>
        <v>27.72</v>
      </c>
      <c r="E41" s="1">
        <f t="shared" si="22"/>
        <v>28.41</v>
      </c>
      <c r="F41" s="1">
        <f t="shared" si="22"/>
        <v>29.12</v>
      </c>
      <c r="G41" s="1">
        <f t="shared" si="22"/>
        <v>29.85</v>
      </c>
      <c r="H41" s="1">
        <f t="shared" si="22"/>
        <v>30.45</v>
      </c>
      <c r="I41" s="1">
        <f t="shared" si="22"/>
        <v>31.06</v>
      </c>
      <c r="J41" s="1">
        <f t="shared" si="22"/>
        <v>31.68</v>
      </c>
      <c r="K41" s="1">
        <f t="shared" si="22"/>
        <v>32.31</v>
      </c>
      <c r="L41" s="1">
        <f t="shared" si="22"/>
        <v>33.119999999999997</v>
      </c>
    </row>
    <row r="42" spans="1:12" x14ac:dyDescent="0.2">
      <c r="A42" s="379" t="s">
        <v>1022</v>
      </c>
      <c r="B42" s="1">
        <f>ROUND((+B31/2096),2)</f>
        <v>0</v>
      </c>
      <c r="C42" s="1">
        <f t="shared" ref="C42:L42" si="23">ROUND((+C31/2096),2)</f>
        <v>27.09</v>
      </c>
      <c r="D42" s="1">
        <f t="shared" si="23"/>
        <v>27.77</v>
      </c>
      <c r="E42" s="1">
        <f t="shared" si="23"/>
        <v>28.47</v>
      </c>
      <c r="F42" s="1">
        <f t="shared" si="23"/>
        <v>29.18</v>
      </c>
      <c r="G42" s="1">
        <f t="shared" si="23"/>
        <v>29.91</v>
      </c>
      <c r="H42" s="1">
        <f t="shared" si="23"/>
        <v>30.51</v>
      </c>
      <c r="I42" s="1">
        <f t="shared" si="23"/>
        <v>31.12</v>
      </c>
      <c r="J42" s="1">
        <f t="shared" si="23"/>
        <v>31.74</v>
      </c>
      <c r="K42" s="1">
        <f t="shared" si="23"/>
        <v>32.369999999999997</v>
      </c>
      <c r="L42" s="1">
        <f t="shared" si="23"/>
        <v>33.18</v>
      </c>
    </row>
    <row r="43" spans="1:12" x14ac:dyDescent="0.2">
      <c r="A43" s="150" t="s">
        <v>979</v>
      </c>
      <c r="B43">
        <v>52.4</v>
      </c>
      <c r="C43" s="254" t="s">
        <v>1222</v>
      </c>
      <c r="G43" s="74"/>
      <c r="H43" s="74"/>
      <c r="I43" s="74"/>
      <c r="J43" s="74"/>
      <c r="K43" s="74"/>
      <c r="L43" s="74"/>
    </row>
    <row r="45" spans="1:12" x14ac:dyDescent="0.2">
      <c r="A45" s="390" t="s">
        <v>1057</v>
      </c>
    </row>
    <row r="46" spans="1:12" x14ac:dyDescent="0.2">
      <c r="B46" s="87" t="s">
        <v>739</v>
      </c>
    </row>
    <row r="47" spans="1:12" x14ac:dyDescent="0.2">
      <c r="A47" s="296" t="s">
        <v>742</v>
      </c>
      <c r="B47" s="296">
        <v>1</v>
      </c>
      <c r="C47" s="296">
        <v>2</v>
      </c>
      <c r="D47" s="296">
        <v>3</v>
      </c>
      <c r="E47" s="296">
        <v>4</v>
      </c>
      <c r="F47" s="296">
        <v>5</v>
      </c>
      <c r="G47" s="296">
        <v>6</v>
      </c>
      <c r="H47" s="296">
        <v>7</v>
      </c>
      <c r="I47" s="296">
        <v>8</v>
      </c>
      <c r="J47" s="296">
        <v>9</v>
      </c>
      <c r="K47" s="296">
        <v>10</v>
      </c>
    </row>
    <row r="48" spans="1:12" x14ac:dyDescent="0.2">
      <c r="A48" s="297" t="s">
        <v>50</v>
      </c>
      <c r="B48" s="299">
        <f>ROUND((+B70*1.02),2)</f>
        <v>14.52</v>
      </c>
      <c r="C48" s="299">
        <f t="shared" ref="C48:K48" si="24">ROUND((+C70*1.02),2)</f>
        <v>14.88</v>
      </c>
      <c r="D48" s="299">
        <f t="shared" si="24"/>
        <v>15.25</v>
      </c>
      <c r="E48" s="299">
        <f t="shared" si="24"/>
        <v>15.65</v>
      </c>
      <c r="F48" s="299">
        <f t="shared" si="24"/>
        <v>16.010000000000002</v>
      </c>
      <c r="G48" s="299">
        <f t="shared" si="24"/>
        <v>16.43</v>
      </c>
      <c r="H48" s="299">
        <f t="shared" si="24"/>
        <v>16.8</v>
      </c>
      <c r="I48" s="299">
        <f t="shared" si="24"/>
        <v>17.170000000000002</v>
      </c>
      <c r="J48" s="299">
        <f t="shared" si="24"/>
        <v>17.510000000000002</v>
      </c>
      <c r="K48" s="299">
        <f t="shared" si="24"/>
        <v>17.87</v>
      </c>
    </row>
    <row r="49" spans="1:11" x14ac:dyDescent="0.2">
      <c r="A49" s="297" t="s">
        <v>51</v>
      </c>
      <c r="B49" s="299">
        <f t="shared" ref="B49:K52" si="25">ROUND((+B71*1.02),2)</f>
        <v>17.12</v>
      </c>
      <c r="C49" s="299">
        <f t="shared" si="25"/>
        <v>17.54</v>
      </c>
      <c r="D49" s="299">
        <f t="shared" si="25"/>
        <v>17.98</v>
      </c>
      <c r="E49" s="299">
        <f t="shared" si="25"/>
        <v>18.43</v>
      </c>
      <c r="F49" s="299">
        <f t="shared" si="25"/>
        <v>18.89</v>
      </c>
      <c r="G49" s="299">
        <f t="shared" si="25"/>
        <v>19.37</v>
      </c>
      <c r="H49" s="299">
        <f t="shared" si="25"/>
        <v>19.86</v>
      </c>
      <c r="I49" s="299">
        <f t="shared" si="25"/>
        <v>20.239999999999998</v>
      </c>
      <c r="J49" s="299">
        <f t="shared" si="25"/>
        <v>20.66</v>
      </c>
      <c r="K49" s="299">
        <f t="shared" si="25"/>
        <v>21.07</v>
      </c>
    </row>
    <row r="50" spans="1:11" x14ac:dyDescent="0.2">
      <c r="A50" s="297" t="s">
        <v>52</v>
      </c>
      <c r="B50" s="299">
        <f t="shared" si="25"/>
        <v>18.420000000000002</v>
      </c>
      <c r="C50" s="299">
        <f t="shared" si="25"/>
        <v>18.88</v>
      </c>
      <c r="D50" s="299">
        <f t="shared" si="25"/>
        <v>19.350000000000001</v>
      </c>
      <c r="E50" s="299">
        <f t="shared" si="25"/>
        <v>19.84</v>
      </c>
      <c r="F50" s="299">
        <f t="shared" si="25"/>
        <v>20.32</v>
      </c>
      <c r="G50" s="299">
        <f t="shared" si="25"/>
        <v>20.85</v>
      </c>
      <c r="H50" s="299">
        <f t="shared" si="25"/>
        <v>21.35</v>
      </c>
      <c r="I50" s="299">
        <f t="shared" si="25"/>
        <v>21.79</v>
      </c>
      <c r="J50" s="299">
        <f t="shared" si="25"/>
        <v>22.22</v>
      </c>
      <c r="K50" s="299">
        <f t="shared" si="25"/>
        <v>22.66</v>
      </c>
    </row>
    <row r="51" spans="1:11" x14ac:dyDescent="0.2">
      <c r="A51" s="297" t="s">
        <v>749</v>
      </c>
      <c r="B51" s="299">
        <f t="shared" si="25"/>
        <v>20.07</v>
      </c>
      <c r="C51" s="299">
        <f t="shared" si="25"/>
        <v>20.57</v>
      </c>
      <c r="D51" s="299">
        <f t="shared" si="25"/>
        <v>21.09</v>
      </c>
      <c r="E51" s="299">
        <f t="shared" si="25"/>
        <v>21.61</v>
      </c>
      <c r="F51" s="299">
        <f t="shared" si="25"/>
        <v>22.15</v>
      </c>
      <c r="G51" s="299">
        <f t="shared" si="25"/>
        <v>22.72</v>
      </c>
      <c r="H51" s="299">
        <f t="shared" si="25"/>
        <v>23.29</v>
      </c>
      <c r="I51" s="299">
        <f t="shared" si="25"/>
        <v>23.74</v>
      </c>
      <c r="J51" s="299">
        <f t="shared" si="25"/>
        <v>24.23</v>
      </c>
      <c r="K51" s="299">
        <f t="shared" si="25"/>
        <v>24.7</v>
      </c>
    </row>
    <row r="52" spans="1:11" x14ac:dyDescent="0.2">
      <c r="A52" s="297" t="s">
        <v>748</v>
      </c>
      <c r="B52" s="299">
        <f t="shared" si="25"/>
        <v>21.66</v>
      </c>
      <c r="C52" s="299">
        <f t="shared" si="25"/>
        <v>22.21</v>
      </c>
      <c r="D52" s="299">
        <f t="shared" si="25"/>
        <v>22.77</v>
      </c>
      <c r="E52" s="299">
        <f t="shared" si="25"/>
        <v>23.34</v>
      </c>
      <c r="F52" s="299">
        <f t="shared" si="25"/>
        <v>23.92</v>
      </c>
      <c r="G52" s="299">
        <f t="shared" si="25"/>
        <v>24.51</v>
      </c>
      <c r="H52" s="299">
        <f t="shared" si="25"/>
        <v>25.13</v>
      </c>
      <c r="I52" s="299">
        <f t="shared" si="25"/>
        <v>25.63</v>
      </c>
      <c r="J52" s="299">
        <f t="shared" si="25"/>
        <v>26.15</v>
      </c>
      <c r="K52" s="299">
        <f t="shared" si="25"/>
        <v>26.67</v>
      </c>
    </row>
    <row r="53" spans="1:11" x14ac:dyDescent="0.2">
      <c r="A53" s="297" t="s">
        <v>747</v>
      </c>
      <c r="B53" s="391">
        <f>ROUND((+B75*1.02),0)</f>
        <v>54857</v>
      </c>
      <c r="C53" s="391">
        <f t="shared" ref="C53:K53" si="26">ROUND((+C75*1.02),0)</f>
        <v>56229</v>
      </c>
      <c r="D53" s="391">
        <f t="shared" si="26"/>
        <v>57633</v>
      </c>
      <c r="E53" s="391">
        <f t="shared" si="26"/>
        <v>59074</v>
      </c>
      <c r="F53" s="391">
        <f t="shared" si="26"/>
        <v>60551</v>
      </c>
      <c r="G53" s="391">
        <f t="shared" si="26"/>
        <v>62066</v>
      </c>
      <c r="H53" s="391">
        <f t="shared" si="26"/>
        <v>63306</v>
      </c>
      <c r="I53" s="391">
        <f t="shared" si="26"/>
        <v>64573</v>
      </c>
      <c r="J53" s="391">
        <f t="shared" si="26"/>
        <v>65863</v>
      </c>
      <c r="K53" s="391">
        <f t="shared" si="26"/>
        <v>67180</v>
      </c>
    </row>
    <row r="54" spans="1:11" x14ac:dyDescent="0.2">
      <c r="A54" s="297" t="s">
        <v>746</v>
      </c>
      <c r="B54" s="391">
        <f>ROUND((+B76*1.02),0)</f>
        <v>58291</v>
      </c>
      <c r="C54" s="391">
        <f t="shared" ref="C54:K54" si="27">ROUND((+C76*1.02),0)</f>
        <v>59749</v>
      </c>
      <c r="D54" s="391">
        <f t="shared" si="27"/>
        <v>61243</v>
      </c>
      <c r="E54" s="391">
        <f t="shared" si="27"/>
        <v>62773</v>
      </c>
      <c r="F54" s="391">
        <f t="shared" si="27"/>
        <v>64342</v>
      </c>
      <c r="G54" s="391">
        <f t="shared" si="27"/>
        <v>65951</v>
      </c>
      <c r="H54" s="391">
        <f t="shared" si="27"/>
        <v>67271</v>
      </c>
      <c r="I54" s="391">
        <f t="shared" si="27"/>
        <v>68615</v>
      </c>
      <c r="J54" s="391">
        <f t="shared" si="27"/>
        <v>69988</v>
      </c>
      <c r="K54" s="391">
        <f t="shared" si="27"/>
        <v>71388</v>
      </c>
    </row>
    <row r="55" spans="1:11" x14ac:dyDescent="0.2">
      <c r="A55" s="297"/>
      <c r="B55" s="391"/>
      <c r="C55" s="391"/>
      <c r="D55" s="391"/>
      <c r="E55" s="391"/>
      <c r="F55" s="391"/>
      <c r="G55" s="391"/>
      <c r="H55" s="391"/>
      <c r="I55" s="391"/>
      <c r="J55" s="391"/>
      <c r="K55" s="391"/>
    </row>
    <row r="56" spans="1:11" x14ac:dyDescent="0.2">
      <c r="A56" s="297" t="s">
        <v>745</v>
      </c>
      <c r="B56" s="391">
        <f t="shared" ref="B56:K58" si="28">ROUND((+B77*1.02),0)</f>
        <v>74094</v>
      </c>
      <c r="C56" s="391">
        <f t="shared" si="28"/>
        <v>75944</v>
      </c>
      <c r="D56" s="391">
        <f t="shared" si="28"/>
        <v>77842</v>
      </c>
      <c r="E56" s="391">
        <f t="shared" si="28"/>
        <v>79790</v>
      </c>
      <c r="F56" s="391">
        <f t="shared" si="28"/>
        <v>81784</v>
      </c>
      <c r="G56" s="391">
        <f t="shared" si="28"/>
        <v>83830</v>
      </c>
      <c r="H56" s="391">
        <f t="shared" si="28"/>
        <v>85925</v>
      </c>
      <c r="I56" s="391">
        <f t="shared" si="28"/>
        <v>87644</v>
      </c>
      <c r="J56" s="391">
        <f t="shared" si="28"/>
        <v>89395</v>
      </c>
      <c r="K56" s="391">
        <f t="shared" si="28"/>
        <v>91183</v>
      </c>
    </row>
    <row r="57" spans="1:11" x14ac:dyDescent="0.2">
      <c r="A57" s="297" t="s">
        <v>744</v>
      </c>
      <c r="B57" s="391">
        <f t="shared" si="28"/>
        <v>81501</v>
      </c>
      <c r="C57" s="391">
        <f t="shared" si="28"/>
        <v>83538</v>
      </c>
      <c r="D57" s="391">
        <f t="shared" si="28"/>
        <v>85628</v>
      </c>
      <c r="E57" s="391">
        <f t="shared" si="28"/>
        <v>87768</v>
      </c>
      <c r="F57" s="391">
        <f t="shared" si="28"/>
        <v>89961</v>
      </c>
      <c r="G57" s="391">
        <f t="shared" si="28"/>
        <v>92210</v>
      </c>
      <c r="H57" s="391">
        <f t="shared" si="28"/>
        <v>94515</v>
      </c>
      <c r="I57" s="391">
        <f t="shared" si="28"/>
        <v>96407</v>
      </c>
      <c r="J57" s="391">
        <f t="shared" si="28"/>
        <v>98334</v>
      </c>
      <c r="K57" s="391">
        <f t="shared" si="28"/>
        <v>100301</v>
      </c>
    </row>
    <row r="58" spans="1:11" x14ac:dyDescent="0.2">
      <c r="A58" s="297" t="s">
        <v>743</v>
      </c>
      <c r="B58" s="391">
        <f t="shared" si="28"/>
        <v>89651</v>
      </c>
      <c r="C58" s="391">
        <f t="shared" si="28"/>
        <v>91892</v>
      </c>
      <c r="D58" s="391">
        <f t="shared" si="28"/>
        <v>94191</v>
      </c>
      <c r="E58" s="391">
        <f t="shared" si="28"/>
        <v>96545</v>
      </c>
      <c r="F58" s="391">
        <f t="shared" si="28"/>
        <v>98958</v>
      </c>
      <c r="G58" s="391">
        <f t="shared" si="28"/>
        <v>101433</v>
      </c>
      <c r="H58" s="391">
        <f t="shared" si="28"/>
        <v>103968</v>
      </c>
      <c r="I58" s="391">
        <f t="shared" si="28"/>
        <v>106046</v>
      </c>
      <c r="J58" s="391">
        <f t="shared" si="28"/>
        <v>108168</v>
      </c>
      <c r="K58" s="391">
        <f t="shared" si="28"/>
        <v>110332</v>
      </c>
    </row>
    <row r="60" spans="1:11" x14ac:dyDescent="0.2">
      <c r="A60" s="297" t="s">
        <v>33</v>
      </c>
      <c r="B60" s="405" t="s">
        <v>980</v>
      </c>
      <c r="C60" s="467"/>
      <c r="D60" s="467"/>
      <c r="E60" s="467"/>
    </row>
    <row r="61" spans="1:11" x14ac:dyDescent="0.2">
      <c r="A61" s="296" t="s">
        <v>742</v>
      </c>
      <c r="B61" s="296">
        <v>1</v>
      </c>
      <c r="C61" s="296">
        <v>2</v>
      </c>
      <c r="D61" s="296">
        <v>3</v>
      </c>
      <c r="E61" s="296">
        <v>4</v>
      </c>
      <c r="F61" s="296">
        <v>5</v>
      </c>
      <c r="G61" s="296">
        <v>6</v>
      </c>
      <c r="H61" s="296">
        <v>7</v>
      </c>
      <c r="I61" s="296">
        <v>8</v>
      </c>
      <c r="J61" s="296">
        <v>9</v>
      </c>
      <c r="K61" s="296">
        <v>10</v>
      </c>
    </row>
    <row r="62" spans="1:11" x14ac:dyDescent="0.2">
      <c r="A62" s="379" t="s">
        <v>886</v>
      </c>
      <c r="B62" s="1">
        <f>ROUND((+B53/1820),2)</f>
        <v>30.14</v>
      </c>
      <c r="C62" s="1">
        <f t="shared" ref="C62:K62" si="29">ROUND((+C53/1820),2)</f>
        <v>30.9</v>
      </c>
      <c r="D62" s="1">
        <f t="shared" si="29"/>
        <v>31.67</v>
      </c>
      <c r="E62" s="1">
        <f t="shared" si="29"/>
        <v>32.46</v>
      </c>
      <c r="F62" s="1">
        <f t="shared" si="29"/>
        <v>33.270000000000003</v>
      </c>
      <c r="G62" s="1">
        <f t="shared" si="29"/>
        <v>34.1</v>
      </c>
      <c r="H62" s="1">
        <f t="shared" si="29"/>
        <v>34.78</v>
      </c>
      <c r="I62" s="1">
        <f t="shared" si="29"/>
        <v>35.479999999999997</v>
      </c>
      <c r="J62" s="1">
        <f t="shared" si="29"/>
        <v>36.19</v>
      </c>
      <c r="K62" s="1">
        <f t="shared" si="29"/>
        <v>36.909999999999997</v>
      </c>
    </row>
    <row r="63" spans="1:11" x14ac:dyDescent="0.2">
      <c r="A63" s="379" t="s">
        <v>1021</v>
      </c>
      <c r="B63" s="1">
        <f>ROUND((+B53/2080),2)</f>
        <v>26.37</v>
      </c>
      <c r="C63" s="1">
        <f t="shared" ref="C63:K63" si="30">ROUND((+C53/2080),2)</f>
        <v>27.03</v>
      </c>
      <c r="D63" s="1">
        <f t="shared" si="30"/>
        <v>27.71</v>
      </c>
      <c r="E63" s="1">
        <f t="shared" si="30"/>
        <v>28.4</v>
      </c>
      <c r="F63" s="1">
        <f t="shared" si="30"/>
        <v>29.11</v>
      </c>
      <c r="G63" s="1">
        <f t="shared" si="30"/>
        <v>29.84</v>
      </c>
      <c r="H63" s="1">
        <f t="shared" si="30"/>
        <v>30.44</v>
      </c>
      <c r="I63" s="1">
        <f t="shared" si="30"/>
        <v>31.04</v>
      </c>
      <c r="J63" s="1">
        <f t="shared" si="30"/>
        <v>31.66</v>
      </c>
      <c r="K63" s="1">
        <f t="shared" si="30"/>
        <v>32.299999999999997</v>
      </c>
    </row>
    <row r="64" spans="1:11" x14ac:dyDescent="0.2">
      <c r="A64" s="379" t="s">
        <v>1022</v>
      </c>
      <c r="B64" s="1">
        <f>ROUND((+B53/2080),2)</f>
        <v>26.37</v>
      </c>
      <c r="C64" s="1">
        <f t="shared" ref="C64:K64" si="31">ROUND((+C53/2080),2)</f>
        <v>27.03</v>
      </c>
      <c r="D64" s="1">
        <f t="shared" si="31"/>
        <v>27.71</v>
      </c>
      <c r="E64" s="1">
        <f t="shared" si="31"/>
        <v>28.4</v>
      </c>
      <c r="F64" s="1">
        <f t="shared" si="31"/>
        <v>29.11</v>
      </c>
      <c r="G64" s="1">
        <f t="shared" si="31"/>
        <v>29.84</v>
      </c>
      <c r="H64" s="1">
        <f t="shared" si="31"/>
        <v>30.44</v>
      </c>
      <c r="I64" s="1">
        <f t="shared" si="31"/>
        <v>31.04</v>
      </c>
      <c r="J64" s="1">
        <f t="shared" si="31"/>
        <v>31.66</v>
      </c>
      <c r="K64" s="1">
        <f t="shared" si="31"/>
        <v>32.299999999999997</v>
      </c>
    </row>
    <row r="65" spans="1:11" x14ac:dyDescent="0.2">
      <c r="A65" s="150" t="s">
        <v>979</v>
      </c>
      <c r="G65" s="74">
        <f>ROUND(((+G54*1.085)/52/37.69),2)</f>
        <v>36.51</v>
      </c>
      <c r="H65" s="74">
        <f>ROUND(((+H54*1.085)/52/37.69),2)</f>
        <v>37.24</v>
      </c>
      <c r="I65" s="74">
        <f>ROUND(((+I54*1.085)/52/37.69),2)</f>
        <v>37.99</v>
      </c>
      <c r="J65" s="74">
        <f>ROUND(((+J54*1.085)/52/37.69),2)</f>
        <v>38.75</v>
      </c>
      <c r="K65" s="74">
        <f>ROUND(((+K54*1.085)/52/37.69),2)</f>
        <v>39.520000000000003</v>
      </c>
    </row>
    <row r="67" spans="1:11" x14ac:dyDescent="0.2">
      <c r="A67" s="390" t="s">
        <v>1006</v>
      </c>
    </row>
    <row r="68" spans="1:11" x14ac:dyDescent="0.2">
      <c r="B68" s="87" t="s">
        <v>739</v>
      </c>
    </row>
    <row r="69" spans="1:11" x14ac:dyDescent="0.2">
      <c r="A69" s="296" t="s">
        <v>742</v>
      </c>
      <c r="B69" s="296">
        <v>1</v>
      </c>
      <c r="C69" s="296">
        <v>2</v>
      </c>
      <c r="D69" s="296">
        <v>3</v>
      </c>
      <c r="E69" s="296">
        <v>4</v>
      </c>
      <c r="F69" s="296">
        <v>5</v>
      </c>
      <c r="G69" s="296">
        <v>6</v>
      </c>
      <c r="H69" s="296">
        <v>7</v>
      </c>
      <c r="I69" s="296">
        <v>8</v>
      </c>
      <c r="J69" s="296">
        <v>9</v>
      </c>
      <c r="K69" s="296">
        <v>10</v>
      </c>
    </row>
    <row r="70" spans="1:11" x14ac:dyDescent="0.2">
      <c r="A70" s="297" t="s">
        <v>50</v>
      </c>
      <c r="B70" s="299">
        <f>ROUND((+B91*1.015),2)</f>
        <v>14.24</v>
      </c>
      <c r="C70" s="299">
        <f t="shared" ref="C70:K70" si="32">ROUND((+C91*1.015),2)</f>
        <v>14.59</v>
      </c>
      <c r="D70" s="299">
        <f t="shared" si="32"/>
        <v>14.95</v>
      </c>
      <c r="E70" s="299">
        <f t="shared" si="32"/>
        <v>15.34</v>
      </c>
      <c r="F70" s="299">
        <f t="shared" si="32"/>
        <v>15.7</v>
      </c>
      <c r="G70" s="299">
        <f t="shared" si="32"/>
        <v>16.11</v>
      </c>
      <c r="H70" s="299">
        <f t="shared" si="32"/>
        <v>16.47</v>
      </c>
      <c r="I70" s="299">
        <f t="shared" si="32"/>
        <v>16.829999999999998</v>
      </c>
      <c r="J70" s="299">
        <f t="shared" si="32"/>
        <v>17.170000000000002</v>
      </c>
      <c r="K70" s="299">
        <f t="shared" si="32"/>
        <v>17.52</v>
      </c>
    </row>
    <row r="71" spans="1:11" x14ac:dyDescent="0.2">
      <c r="A71" s="297" t="s">
        <v>51</v>
      </c>
      <c r="B71" s="299">
        <f t="shared" ref="B71:K74" si="33">ROUND((+B92*1.015),2)</f>
        <v>16.78</v>
      </c>
      <c r="C71" s="299">
        <f t="shared" si="33"/>
        <v>17.2</v>
      </c>
      <c r="D71" s="299">
        <f t="shared" si="33"/>
        <v>17.63</v>
      </c>
      <c r="E71" s="299">
        <f t="shared" si="33"/>
        <v>18.07</v>
      </c>
      <c r="F71" s="299">
        <f t="shared" si="33"/>
        <v>18.52</v>
      </c>
      <c r="G71" s="299">
        <f t="shared" si="33"/>
        <v>18.989999999999998</v>
      </c>
      <c r="H71" s="299">
        <f t="shared" si="33"/>
        <v>19.47</v>
      </c>
      <c r="I71" s="299">
        <f t="shared" si="33"/>
        <v>19.84</v>
      </c>
      <c r="J71" s="299">
        <f t="shared" si="33"/>
        <v>20.25</v>
      </c>
      <c r="K71" s="299">
        <f t="shared" si="33"/>
        <v>20.66</v>
      </c>
    </row>
    <row r="72" spans="1:11" x14ac:dyDescent="0.2">
      <c r="A72" s="297" t="s">
        <v>52</v>
      </c>
      <c r="B72" s="299">
        <f t="shared" si="33"/>
        <v>18.059999999999999</v>
      </c>
      <c r="C72" s="299">
        <f t="shared" si="33"/>
        <v>18.510000000000002</v>
      </c>
      <c r="D72" s="299">
        <f t="shared" si="33"/>
        <v>18.97</v>
      </c>
      <c r="E72" s="299">
        <f t="shared" si="33"/>
        <v>19.45</v>
      </c>
      <c r="F72" s="299">
        <f t="shared" si="33"/>
        <v>19.920000000000002</v>
      </c>
      <c r="G72" s="299">
        <f t="shared" si="33"/>
        <v>20.440000000000001</v>
      </c>
      <c r="H72" s="299">
        <f t="shared" si="33"/>
        <v>20.93</v>
      </c>
      <c r="I72" s="299">
        <f t="shared" si="33"/>
        <v>21.36</v>
      </c>
      <c r="J72" s="299">
        <f t="shared" si="33"/>
        <v>21.78</v>
      </c>
      <c r="K72" s="299">
        <f t="shared" si="33"/>
        <v>22.22</v>
      </c>
    </row>
    <row r="73" spans="1:11" x14ac:dyDescent="0.2">
      <c r="A73" s="297" t="s">
        <v>749</v>
      </c>
      <c r="B73" s="299">
        <f t="shared" si="33"/>
        <v>19.68</v>
      </c>
      <c r="C73" s="299">
        <f t="shared" si="33"/>
        <v>20.170000000000002</v>
      </c>
      <c r="D73" s="299">
        <f t="shared" si="33"/>
        <v>20.68</v>
      </c>
      <c r="E73" s="299">
        <f t="shared" si="33"/>
        <v>21.19</v>
      </c>
      <c r="F73" s="299">
        <f t="shared" si="33"/>
        <v>21.72</v>
      </c>
      <c r="G73" s="299">
        <f t="shared" si="33"/>
        <v>22.27</v>
      </c>
      <c r="H73" s="299">
        <f t="shared" si="33"/>
        <v>22.83</v>
      </c>
      <c r="I73" s="299">
        <f t="shared" si="33"/>
        <v>23.27</v>
      </c>
      <c r="J73" s="299">
        <f t="shared" si="33"/>
        <v>23.75</v>
      </c>
      <c r="K73" s="299">
        <f t="shared" si="33"/>
        <v>24.22</v>
      </c>
    </row>
    <row r="74" spans="1:11" x14ac:dyDescent="0.2">
      <c r="A74" s="297" t="s">
        <v>748</v>
      </c>
      <c r="B74" s="299">
        <f t="shared" si="33"/>
        <v>21.24</v>
      </c>
      <c r="C74" s="299">
        <f t="shared" si="33"/>
        <v>21.77</v>
      </c>
      <c r="D74" s="299">
        <f t="shared" si="33"/>
        <v>22.32</v>
      </c>
      <c r="E74" s="299">
        <f t="shared" si="33"/>
        <v>22.88</v>
      </c>
      <c r="F74" s="299">
        <f t="shared" si="33"/>
        <v>23.45</v>
      </c>
      <c r="G74" s="299">
        <f t="shared" si="33"/>
        <v>24.03</v>
      </c>
      <c r="H74" s="299">
        <f t="shared" si="33"/>
        <v>24.64</v>
      </c>
      <c r="I74" s="299">
        <f t="shared" si="33"/>
        <v>25.13</v>
      </c>
      <c r="J74" s="299">
        <f t="shared" si="33"/>
        <v>25.64</v>
      </c>
      <c r="K74" s="299">
        <f t="shared" si="33"/>
        <v>26.15</v>
      </c>
    </row>
    <row r="75" spans="1:11" x14ac:dyDescent="0.2">
      <c r="A75" s="297" t="s">
        <v>747</v>
      </c>
      <c r="B75" s="391">
        <f>ROUND((+B96*1.015),0)</f>
        <v>53781</v>
      </c>
      <c r="C75" s="391">
        <f t="shared" ref="C75:K75" si="34">ROUND((+C96*1.015),0)</f>
        <v>55126</v>
      </c>
      <c r="D75" s="391">
        <f t="shared" si="34"/>
        <v>56503</v>
      </c>
      <c r="E75" s="391">
        <f t="shared" si="34"/>
        <v>57916</v>
      </c>
      <c r="F75" s="391">
        <f t="shared" si="34"/>
        <v>59364</v>
      </c>
      <c r="G75" s="391">
        <f t="shared" si="34"/>
        <v>60849</v>
      </c>
      <c r="H75" s="391">
        <f t="shared" si="34"/>
        <v>62065</v>
      </c>
      <c r="I75" s="391">
        <f t="shared" si="34"/>
        <v>63307</v>
      </c>
      <c r="J75" s="391">
        <f t="shared" si="34"/>
        <v>64572</v>
      </c>
      <c r="K75" s="391">
        <f t="shared" si="34"/>
        <v>65863</v>
      </c>
    </row>
    <row r="76" spans="1:11" x14ac:dyDescent="0.2">
      <c r="A76" s="297" t="s">
        <v>746</v>
      </c>
      <c r="B76" s="391">
        <f t="shared" ref="B76:K79" si="35">ROUND((+B97*1.015),0)</f>
        <v>57148</v>
      </c>
      <c r="C76" s="391">
        <f t="shared" si="35"/>
        <v>58577</v>
      </c>
      <c r="D76" s="391">
        <f t="shared" si="35"/>
        <v>60042</v>
      </c>
      <c r="E76" s="391">
        <f t="shared" si="35"/>
        <v>61542</v>
      </c>
      <c r="F76" s="391">
        <f t="shared" si="35"/>
        <v>63080</v>
      </c>
      <c r="G76" s="391">
        <f t="shared" si="35"/>
        <v>64658</v>
      </c>
      <c r="H76" s="391">
        <f t="shared" si="35"/>
        <v>65952</v>
      </c>
      <c r="I76" s="391">
        <f t="shared" si="35"/>
        <v>67270</v>
      </c>
      <c r="J76" s="391">
        <f t="shared" si="35"/>
        <v>68616</v>
      </c>
      <c r="K76" s="391">
        <f t="shared" si="35"/>
        <v>69988</v>
      </c>
    </row>
    <row r="77" spans="1:11" x14ac:dyDescent="0.2">
      <c r="A77" s="297" t="s">
        <v>745</v>
      </c>
      <c r="B77" s="391">
        <f t="shared" si="35"/>
        <v>72641</v>
      </c>
      <c r="C77" s="391">
        <f t="shared" si="35"/>
        <v>74455</v>
      </c>
      <c r="D77" s="391">
        <f t="shared" si="35"/>
        <v>76316</v>
      </c>
      <c r="E77" s="391">
        <f t="shared" si="35"/>
        <v>78225</v>
      </c>
      <c r="F77" s="391">
        <f t="shared" si="35"/>
        <v>80180</v>
      </c>
      <c r="G77" s="391">
        <f t="shared" si="35"/>
        <v>82186</v>
      </c>
      <c r="H77" s="391">
        <f t="shared" si="35"/>
        <v>84240</v>
      </c>
      <c r="I77" s="391">
        <f t="shared" si="35"/>
        <v>85925</v>
      </c>
      <c r="J77" s="391">
        <f t="shared" si="35"/>
        <v>87642</v>
      </c>
      <c r="K77" s="391">
        <f t="shared" si="35"/>
        <v>89395</v>
      </c>
    </row>
    <row r="78" spans="1:11" x14ac:dyDescent="0.2">
      <c r="A78" s="297" t="s">
        <v>744</v>
      </c>
      <c r="B78" s="391">
        <f t="shared" si="35"/>
        <v>79903</v>
      </c>
      <c r="C78" s="391">
        <f t="shared" si="35"/>
        <v>81900</v>
      </c>
      <c r="D78" s="391">
        <f t="shared" si="35"/>
        <v>83949</v>
      </c>
      <c r="E78" s="391">
        <f t="shared" si="35"/>
        <v>86047</v>
      </c>
      <c r="F78" s="391">
        <f t="shared" si="35"/>
        <v>88197</v>
      </c>
      <c r="G78" s="391">
        <f t="shared" si="35"/>
        <v>90402</v>
      </c>
      <c r="H78" s="391">
        <f t="shared" si="35"/>
        <v>92662</v>
      </c>
      <c r="I78" s="391">
        <f t="shared" si="35"/>
        <v>94517</v>
      </c>
      <c r="J78" s="391">
        <f t="shared" si="35"/>
        <v>96406</v>
      </c>
      <c r="K78" s="391">
        <f t="shared" si="35"/>
        <v>98334</v>
      </c>
    </row>
    <row r="79" spans="1:11" x14ac:dyDescent="0.2">
      <c r="A79" s="297" t="s">
        <v>743</v>
      </c>
      <c r="B79" s="391">
        <f t="shared" si="35"/>
        <v>87893</v>
      </c>
      <c r="C79" s="391">
        <f t="shared" si="35"/>
        <v>90090</v>
      </c>
      <c r="D79" s="391">
        <f t="shared" si="35"/>
        <v>92344</v>
      </c>
      <c r="E79" s="391">
        <f t="shared" si="35"/>
        <v>94652</v>
      </c>
      <c r="F79" s="391">
        <f t="shared" si="35"/>
        <v>97018</v>
      </c>
      <c r="G79" s="391">
        <f t="shared" si="35"/>
        <v>99444</v>
      </c>
      <c r="H79" s="391">
        <f t="shared" si="35"/>
        <v>101929</v>
      </c>
      <c r="I79" s="391">
        <f t="shared" si="35"/>
        <v>103967</v>
      </c>
      <c r="J79" s="391">
        <f t="shared" si="35"/>
        <v>106047</v>
      </c>
      <c r="K79" s="391">
        <f t="shared" si="35"/>
        <v>108169</v>
      </c>
    </row>
    <row r="81" spans="1:15" x14ac:dyDescent="0.2">
      <c r="A81" s="297" t="s">
        <v>33</v>
      </c>
      <c r="B81" s="405" t="s">
        <v>980</v>
      </c>
      <c r="C81" s="467"/>
      <c r="D81" s="467"/>
      <c r="E81" s="467"/>
    </row>
    <row r="82" spans="1:15" x14ac:dyDescent="0.2">
      <c r="A82" s="296" t="s">
        <v>742</v>
      </c>
      <c r="B82" s="296">
        <v>1</v>
      </c>
      <c r="C82" s="296">
        <v>2</v>
      </c>
      <c r="D82" s="296">
        <v>3</v>
      </c>
      <c r="E82" s="296">
        <v>4</v>
      </c>
      <c r="F82" s="296">
        <v>5</v>
      </c>
      <c r="G82" s="296">
        <v>6</v>
      </c>
      <c r="H82" s="296">
        <v>7</v>
      </c>
      <c r="I82" s="296">
        <v>8</v>
      </c>
      <c r="J82" s="296">
        <v>9</v>
      </c>
      <c r="K82" s="296">
        <v>10</v>
      </c>
    </row>
    <row r="83" spans="1:15" x14ac:dyDescent="0.2">
      <c r="A83" s="379" t="s">
        <v>886</v>
      </c>
      <c r="B83" s="1">
        <f>ROUND((+B75/1820),2)</f>
        <v>29.55</v>
      </c>
      <c r="C83" s="1">
        <f t="shared" ref="C83:K83" si="36">ROUND((+C75/1820),2)</f>
        <v>30.29</v>
      </c>
      <c r="D83" s="1">
        <f t="shared" si="36"/>
        <v>31.05</v>
      </c>
      <c r="E83" s="1">
        <f t="shared" si="36"/>
        <v>31.82</v>
      </c>
      <c r="F83" s="1">
        <f t="shared" si="36"/>
        <v>32.619999999999997</v>
      </c>
      <c r="G83" s="1">
        <f t="shared" si="36"/>
        <v>33.43</v>
      </c>
      <c r="H83" s="1">
        <f t="shared" si="36"/>
        <v>34.1</v>
      </c>
      <c r="I83" s="1">
        <f t="shared" si="36"/>
        <v>34.78</v>
      </c>
      <c r="J83" s="1">
        <f t="shared" si="36"/>
        <v>35.479999999999997</v>
      </c>
      <c r="K83" s="1">
        <f t="shared" si="36"/>
        <v>36.19</v>
      </c>
    </row>
    <row r="84" spans="1:15" x14ac:dyDescent="0.2">
      <c r="A84" s="379" t="s">
        <v>1021</v>
      </c>
      <c r="B84" s="1">
        <f>ROUND((+B75/2080),2)</f>
        <v>25.86</v>
      </c>
      <c r="C84" s="1">
        <f t="shared" ref="C84:K84" si="37">ROUND((+C75/2080),2)</f>
        <v>26.5</v>
      </c>
      <c r="D84" s="1">
        <f t="shared" si="37"/>
        <v>27.16</v>
      </c>
      <c r="E84" s="1">
        <f t="shared" si="37"/>
        <v>27.84</v>
      </c>
      <c r="F84" s="1">
        <f t="shared" si="37"/>
        <v>28.54</v>
      </c>
      <c r="G84" s="1">
        <f t="shared" si="37"/>
        <v>29.25</v>
      </c>
      <c r="H84" s="1">
        <f t="shared" si="37"/>
        <v>29.84</v>
      </c>
      <c r="I84" s="1">
        <f t="shared" si="37"/>
        <v>30.44</v>
      </c>
      <c r="J84" s="1">
        <f t="shared" si="37"/>
        <v>31.04</v>
      </c>
      <c r="K84" s="1">
        <f t="shared" si="37"/>
        <v>31.66</v>
      </c>
    </row>
    <row r="85" spans="1:15" x14ac:dyDescent="0.2">
      <c r="A85" s="379" t="s">
        <v>1022</v>
      </c>
      <c r="B85" s="1">
        <f>ROUND((+B75/2080),2)</f>
        <v>25.86</v>
      </c>
      <c r="C85" s="1">
        <f t="shared" ref="C85:K85" si="38">ROUND((+C75/2080),2)</f>
        <v>26.5</v>
      </c>
      <c r="D85" s="1">
        <f t="shared" si="38"/>
        <v>27.16</v>
      </c>
      <c r="E85" s="1">
        <f t="shared" si="38"/>
        <v>27.84</v>
      </c>
      <c r="F85" s="1">
        <f t="shared" si="38"/>
        <v>28.54</v>
      </c>
      <c r="G85" s="1">
        <f t="shared" si="38"/>
        <v>29.25</v>
      </c>
      <c r="H85" s="1">
        <f t="shared" si="38"/>
        <v>29.84</v>
      </c>
      <c r="I85" s="1">
        <f t="shared" si="38"/>
        <v>30.44</v>
      </c>
      <c r="J85" s="1">
        <f t="shared" si="38"/>
        <v>31.04</v>
      </c>
      <c r="K85" s="1">
        <f t="shared" si="38"/>
        <v>31.66</v>
      </c>
    </row>
    <row r="86" spans="1:15" x14ac:dyDescent="0.2">
      <c r="A86" s="150" t="s">
        <v>979</v>
      </c>
      <c r="G86" s="74">
        <f>ROUND(((+G76*1.085)/52/37.69),2)</f>
        <v>35.799999999999997</v>
      </c>
      <c r="H86" s="74">
        <f>ROUND(((+H76*1.085)/52/37.69),2)</f>
        <v>36.51</v>
      </c>
      <c r="I86" s="74">
        <f>ROUND(((+I76*1.085)/52/37.69),2)</f>
        <v>37.24</v>
      </c>
      <c r="J86" s="74">
        <f>ROUND(((+J76*1.085)/52/37.69),2)</f>
        <v>37.99</v>
      </c>
      <c r="K86" s="74">
        <f>ROUND(((+K76*1.085)/52/37.69),2)</f>
        <v>38.75</v>
      </c>
    </row>
    <row r="88" spans="1:15" x14ac:dyDescent="0.2">
      <c r="A88" s="390" t="s">
        <v>978</v>
      </c>
    </row>
    <row r="89" spans="1:15" x14ac:dyDescent="0.2">
      <c r="B89" s="87" t="s">
        <v>739</v>
      </c>
      <c r="M89" s="254" t="s">
        <v>887</v>
      </c>
    </row>
    <row r="90" spans="1:15" x14ac:dyDescent="0.2">
      <c r="A90" s="296" t="s">
        <v>742</v>
      </c>
      <c r="B90" s="296">
        <v>1</v>
      </c>
      <c r="C90" s="296">
        <v>2</v>
      </c>
      <c r="D90" s="296">
        <v>3</v>
      </c>
      <c r="E90" s="296">
        <v>4</v>
      </c>
      <c r="F90" s="296">
        <v>5</v>
      </c>
      <c r="G90" s="296">
        <v>6</v>
      </c>
      <c r="H90" s="296">
        <v>7</v>
      </c>
      <c r="I90" s="296">
        <v>8</v>
      </c>
      <c r="J90" s="296">
        <v>9</v>
      </c>
      <c r="K90" s="296">
        <v>10</v>
      </c>
      <c r="M90" s="254"/>
      <c r="N90" s="393"/>
    </row>
    <row r="91" spans="1:15" x14ac:dyDescent="0.2">
      <c r="A91" s="297" t="s">
        <v>50</v>
      </c>
      <c r="B91" s="299">
        <f>ROUND((+B111*1.01),2)</f>
        <v>14.03</v>
      </c>
      <c r="C91" s="299">
        <f t="shared" ref="C91:K91" si="39">ROUND((+C111*1.01),2)</f>
        <v>14.37</v>
      </c>
      <c r="D91" s="299">
        <f t="shared" si="39"/>
        <v>14.73</v>
      </c>
      <c r="E91" s="299">
        <f t="shared" si="39"/>
        <v>15.11</v>
      </c>
      <c r="F91" s="299">
        <f t="shared" si="39"/>
        <v>15.47</v>
      </c>
      <c r="G91" s="299">
        <f t="shared" si="39"/>
        <v>15.87</v>
      </c>
      <c r="H91" s="299">
        <f t="shared" si="39"/>
        <v>16.23</v>
      </c>
      <c r="I91" s="299">
        <f t="shared" si="39"/>
        <v>16.579999999999998</v>
      </c>
      <c r="J91" s="299">
        <f t="shared" si="39"/>
        <v>16.920000000000002</v>
      </c>
      <c r="K91" s="299">
        <f t="shared" si="39"/>
        <v>17.260000000000002</v>
      </c>
      <c r="M91" s="254"/>
      <c r="N91" s="394"/>
    </row>
    <row r="92" spans="1:15" x14ac:dyDescent="0.2">
      <c r="A92" s="297" t="s">
        <v>51</v>
      </c>
      <c r="B92" s="299">
        <f t="shared" ref="B92:K95" si="40">ROUND((+B112*1.01),2)</f>
        <v>16.53</v>
      </c>
      <c r="C92" s="299">
        <f t="shared" si="40"/>
        <v>16.95</v>
      </c>
      <c r="D92" s="299">
        <f t="shared" si="40"/>
        <v>17.37</v>
      </c>
      <c r="E92" s="299">
        <f t="shared" si="40"/>
        <v>17.8</v>
      </c>
      <c r="F92" s="299">
        <f t="shared" si="40"/>
        <v>18.25</v>
      </c>
      <c r="G92" s="299">
        <f t="shared" si="40"/>
        <v>18.71</v>
      </c>
      <c r="H92" s="299">
        <f t="shared" si="40"/>
        <v>19.18</v>
      </c>
      <c r="I92" s="299">
        <f t="shared" si="40"/>
        <v>19.55</v>
      </c>
      <c r="J92" s="299">
        <f t="shared" si="40"/>
        <v>19.95</v>
      </c>
      <c r="K92" s="299">
        <f t="shared" si="40"/>
        <v>20.350000000000001</v>
      </c>
      <c r="M92" s="254"/>
      <c r="N92" s="394"/>
      <c r="O92" s="254"/>
    </row>
    <row r="93" spans="1:15" x14ac:dyDescent="0.2">
      <c r="A93" s="297" t="s">
        <v>52</v>
      </c>
      <c r="B93" s="299">
        <f t="shared" si="40"/>
        <v>17.79</v>
      </c>
      <c r="C93" s="299">
        <f t="shared" si="40"/>
        <v>18.239999999999998</v>
      </c>
      <c r="D93" s="299">
        <f t="shared" si="40"/>
        <v>18.690000000000001</v>
      </c>
      <c r="E93" s="299">
        <f t="shared" si="40"/>
        <v>19.16</v>
      </c>
      <c r="F93" s="299">
        <f t="shared" si="40"/>
        <v>19.63</v>
      </c>
      <c r="G93" s="299">
        <f t="shared" si="40"/>
        <v>20.14</v>
      </c>
      <c r="H93" s="299">
        <f t="shared" si="40"/>
        <v>20.62</v>
      </c>
      <c r="I93" s="299">
        <f t="shared" si="40"/>
        <v>21.04</v>
      </c>
      <c r="J93" s="299">
        <f t="shared" si="40"/>
        <v>21.46</v>
      </c>
      <c r="K93" s="299">
        <f t="shared" si="40"/>
        <v>21.89</v>
      </c>
      <c r="M93" s="254"/>
      <c r="N93" s="394"/>
    </row>
    <row r="94" spans="1:15" x14ac:dyDescent="0.2">
      <c r="A94" s="297" t="s">
        <v>749</v>
      </c>
      <c r="B94" s="299">
        <f t="shared" si="40"/>
        <v>19.39</v>
      </c>
      <c r="C94" s="299">
        <f t="shared" si="40"/>
        <v>19.87</v>
      </c>
      <c r="D94" s="299">
        <f t="shared" si="40"/>
        <v>20.37</v>
      </c>
      <c r="E94" s="299">
        <f t="shared" si="40"/>
        <v>20.88</v>
      </c>
      <c r="F94" s="299">
        <f t="shared" si="40"/>
        <v>21.4</v>
      </c>
      <c r="G94" s="299">
        <f t="shared" si="40"/>
        <v>21.94</v>
      </c>
      <c r="H94" s="299">
        <f t="shared" si="40"/>
        <v>22.49</v>
      </c>
      <c r="I94" s="299">
        <f t="shared" si="40"/>
        <v>22.93</v>
      </c>
      <c r="J94" s="299">
        <f t="shared" si="40"/>
        <v>23.4</v>
      </c>
      <c r="K94" s="299">
        <f t="shared" si="40"/>
        <v>23.86</v>
      </c>
    </row>
    <row r="95" spans="1:15" x14ac:dyDescent="0.2">
      <c r="A95" s="297" t="s">
        <v>748</v>
      </c>
      <c r="B95" s="299">
        <f t="shared" si="40"/>
        <v>20.93</v>
      </c>
      <c r="C95" s="299">
        <f t="shared" si="40"/>
        <v>21.45</v>
      </c>
      <c r="D95" s="299">
        <f t="shared" si="40"/>
        <v>21.99</v>
      </c>
      <c r="E95" s="299">
        <f t="shared" si="40"/>
        <v>22.54</v>
      </c>
      <c r="F95" s="299">
        <f t="shared" si="40"/>
        <v>23.1</v>
      </c>
      <c r="G95" s="299">
        <f t="shared" si="40"/>
        <v>23.67</v>
      </c>
      <c r="H95" s="299">
        <f t="shared" si="40"/>
        <v>24.28</v>
      </c>
      <c r="I95" s="299">
        <f t="shared" si="40"/>
        <v>24.76</v>
      </c>
      <c r="J95" s="299">
        <f t="shared" si="40"/>
        <v>25.26</v>
      </c>
      <c r="K95" s="299">
        <f t="shared" si="40"/>
        <v>25.76</v>
      </c>
    </row>
    <row r="96" spans="1:15" x14ac:dyDescent="0.2">
      <c r="A96" s="297" t="s">
        <v>747</v>
      </c>
      <c r="B96" s="391">
        <f>ROUND((+B116*1.01),0)</f>
        <v>52986</v>
      </c>
      <c r="C96" s="391">
        <f t="shared" ref="C96:K96" si="41">ROUND((+C116*1.01),0)</f>
        <v>54311</v>
      </c>
      <c r="D96" s="391">
        <f t="shared" si="41"/>
        <v>55668</v>
      </c>
      <c r="E96" s="391">
        <f t="shared" si="41"/>
        <v>57060</v>
      </c>
      <c r="F96" s="391">
        <f t="shared" si="41"/>
        <v>58487</v>
      </c>
      <c r="G96" s="391">
        <f t="shared" si="41"/>
        <v>59950</v>
      </c>
      <c r="H96" s="391">
        <f t="shared" si="41"/>
        <v>61148</v>
      </c>
      <c r="I96" s="391">
        <f t="shared" si="41"/>
        <v>62371</v>
      </c>
      <c r="J96" s="391">
        <f t="shared" si="41"/>
        <v>63618</v>
      </c>
      <c r="K96" s="391">
        <f t="shared" si="41"/>
        <v>64890</v>
      </c>
    </row>
    <row r="97" spans="1:11" x14ac:dyDescent="0.2">
      <c r="A97" s="297" t="s">
        <v>746</v>
      </c>
      <c r="B97" s="391">
        <f t="shared" ref="B97:K100" si="42">ROUND((+B117*1.01),0)</f>
        <v>56303</v>
      </c>
      <c r="C97" s="391">
        <f t="shared" si="42"/>
        <v>57711</v>
      </c>
      <c r="D97" s="391">
        <f t="shared" si="42"/>
        <v>59155</v>
      </c>
      <c r="E97" s="391">
        <f t="shared" si="42"/>
        <v>60633</v>
      </c>
      <c r="F97" s="391">
        <f t="shared" si="42"/>
        <v>62148</v>
      </c>
      <c r="G97" s="391">
        <f t="shared" si="42"/>
        <v>63702</v>
      </c>
      <c r="H97" s="391">
        <f t="shared" si="42"/>
        <v>64977</v>
      </c>
      <c r="I97" s="391">
        <f t="shared" si="42"/>
        <v>66276</v>
      </c>
      <c r="J97" s="391">
        <f t="shared" si="42"/>
        <v>67602</v>
      </c>
      <c r="K97" s="391">
        <f t="shared" si="42"/>
        <v>68954</v>
      </c>
    </row>
    <row r="98" spans="1:11" x14ac:dyDescent="0.2">
      <c r="A98" s="297" t="s">
        <v>745</v>
      </c>
      <c r="B98" s="391">
        <f t="shared" si="42"/>
        <v>71567</v>
      </c>
      <c r="C98" s="391">
        <f t="shared" si="42"/>
        <v>73355</v>
      </c>
      <c r="D98" s="391">
        <f t="shared" si="42"/>
        <v>75188</v>
      </c>
      <c r="E98" s="391">
        <f t="shared" si="42"/>
        <v>77069</v>
      </c>
      <c r="F98" s="391">
        <f t="shared" si="42"/>
        <v>78995</v>
      </c>
      <c r="G98" s="391">
        <f t="shared" si="42"/>
        <v>80971</v>
      </c>
      <c r="H98" s="391">
        <f t="shared" si="42"/>
        <v>82995</v>
      </c>
      <c r="I98" s="391">
        <f t="shared" si="42"/>
        <v>84655</v>
      </c>
      <c r="J98" s="391">
        <f t="shared" si="42"/>
        <v>86347</v>
      </c>
      <c r="K98" s="391">
        <f t="shared" si="42"/>
        <v>88074</v>
      </c>
    </row>
    <row r="99" spans="1:11" x14ac:dyDescent="0.2">
      <c r="A99" s="297" t="s">
        <v>744</v>
      </c>
      <c r="B99" s="391">
        <f t="shared" si="42"/>
        <v>78722</v>
      </c>
      <c r="C99" s="391">
        <f t="shared" si="42"/>
        <v>80690</v>
      </c>
      <c r="D99" s="391">
        <f t="shared" si="42"/>
        <v>82708</v>
      </c>
      <c r="E99" s="391">
        <f t="shared" si="42"/>
        <v>84775</v>
      </c>
      <c r="F99" s="391">
        <f t="shared" si="42"/>
        <v>86894</v>
      </c>
      <c r="G99" s="391">
        <f t="shared" si="42"/>
        <v>89066</v>
      </c>
      <c r="H99" s="391">
        <f t="shared" si="42"/>
        <v>91293</v>
      </c>
      <c r="I99" s="391">
        <f t="shared" si="42"/>
        <v>93120</v>
      </c>
      <c r="J99" s="391">
        <f t="shared" si="42"/>
        <v>94981</v>
      </c>
      <c r="K99" s="391">
        <f t="shared" si="42"/>
        <v>96881</v>
      </c>
    </row>
    <row r="100" spans="1:11" x14ac:dyDescent="0.2">
      <c r="A100" s="297" t="s">
        <v>743</v>
      </c>
      <c r="B100" s="391">
        <f t="shared" si="42"/>
        <v>86594</v>
      </c>
      <c r="C100" s="391">
        <f t="shared" si="42"/>
        <v>88759</v>
      </c>
      <c r="D100" s="391">
        <f t="shared" si="42"/>
        <v>90979</v>
      </c>
      <c r="E100" s="391">
        <f t="shared" si="42"/>
        <v>93253</v>
      </c>
      <c r="F100" s="391">
        <f t="shared" si="42"/>
        <v>95584</v>
      </c>
      <c r="G100" s="391">
        <f t="shared" si="42"/>
        <v>97974</v>
      </c>
      <c r="H100" s="391">
        <f t="shared" si="42"/>
        <v>100423</v>
      </c>
      <c r="I100" s="391">
        <f t="shared" si="42"/>
        <v>102431</v>
      </c>
      <c r="J100" s="391">
        <f t="shared" si="42"/>
        <v>104480</v>
      </c>
      <c r="K100" s="391">
        <f t="shared" si="42"/>
        <v>106570</v>
      </c>
    </row>
    <row r="102" spans="1:11" x14ac:dyDescent="0.2">
      <c r="A102" s="297" t="s">
        <v>33</v>
      </c>
      <c r="B102" s="405" t="s">
        <v>980</v>
      </c>
      <c r="C102" s="467"/>
      <c r="D102" s="467"/>
      <c r="E102" s="467"/>
    </row>
    <row r="103" spans="1:11" x14ac:dyDescent="0.2">
      <c r="A103" s="296" t="s">
        <v>742</v>
      </c>
      <c r="B103" s="296">
        <v>1</v>
      </c>
      <c r="C103" s="296">
        <v>2</v>
      </c>
      <c r="D103" s="296">
        <v>3</v>
      </c>
      <c r="E103" s="296">
        <v>4</v>
      </c>
      <c r="F103" s="296">
        <v>5</v>
      </c>
      <c r="G103" s="296">
        <v>6</v>
      </c>
      <c r="H103" s="296">
        <v>7</v>
      </c>
      <c r="I103" s="296">
        <v>8</v>
      </c>
      <c r="J103" s="296">
        <v>9</v>
      </c>
      <c r="K103" s="296">
        <v>10</v>
      </c>
    </row>
    <row r="104" spans="1:11" x14ac:dyDescent="0.2">
      <c r="A104" s="379" t="s">
        <v>886</v>
      </c>
      <c r="B104" s="1">
        <f>ROUND((+B96/1827),2)</f>
        <v>29</v>
      </c>
      <c r="C104" s="1">
        <f t="shared" ref="C104:K104" si="43">ROUND((+C96/1827),2)</f>
        <v>29.73</v>
      </c>
      <c r="D104" s="1">
        <f t="shared" si="43"/>
        <v>30.47</v>
      </c>
      <c r="E104" s="1">
        <f t="shared" si="43"/>
        <v>31.23</v>
      </c>
      <c r="F104" s="1">
        <f t="shared" si="43"/>
        <v>32.01</v>
      </c>
      <c r="G104" s="1">
        <f t="shared" si="43"/>
        <v>32.81</v>
      </c>
      <c r="H104" s="1">
        <f t="shared" si="43"/>
        <v>33.47</v>
      </c>
      <c r="I104" s="1">
        <f t="shared" si="43"/>
        <v>34.14</v>
      </c>
      <c r="J104" s="1">
        <f t="shared" si="43"/>
        <v>34.82</v>
      </c>
      <c r="K104" s="1">
        <f t="shared" si="43"/>
        <v>35.520000000000003</v>
      </c>
    </row>
    <row r="105" spans="1:11" x14ac:dyDescent="0.2">
      <c r="A105" s="297" t="s">
        <v>632</v>
      </c>
      <c r="B105" s="1">
        <f>ROUND((+B96/2080),2)</f>
        <v>25.47</v>
      </c>
      <c r="C105" s="1">
        <f t="shared" ref="C105:K105" si="44">ROUND((+C96/2080),2)</f>
        <v>26.11</v>
      </c>
      <c r="D105" s="1">
        <f t="shared" si="44"/>
        <v>26.76</v>
      </c>
      <c r="E105" s="1">
        <f t="shared" si="44"/>
        <v>27.43</v>
      </c>
      <c r="F105" s="1">
        <f t="shared" si="44"/>
        <v>28.12</v>
      </c>
      <c r="G105" s="1">
        <f t="shared" si="44"/>
        <v>28.82</v>
      </c>
      <c r="H105" s="1">
        <f t="shared" si="44"/>
        <v>29.4</v>
      </c>
      <c r="I105" s="1">
        <f t="shared" si="44"/>
        <v>29.99</v>
      </c>
      <c r="J105" s="1">
        <f t="shared" si="44"/>
        <v>30.59</v>
      </c>
      <c r="K105" s="1">
        <f t="shared" si="44"/>
        <v>31.2</v>
      </c>
    </row>
    <row r="106" spans="1:11" x14ac:dyDescent="0.2">
      <c r="A106" s="150" t="s">
        <v>979</v>
      </c>
      <c r="G106" s="74">
        <f>ROUND(((+G97*1.085)/52.2/37.69),2)</f>
        <v>35.130000000000003</v>
      </c>
      <c r="H106" s="74">
        <f>ROUND(((+H97*1.085)/52.2/37.69),2)</f>
        <v>35.83</v>
      </c>
      <c r="I106" s="74">
        <f>ROUND(((+I97*1.085)/52.2/37.69),2)</f>
        <v>36.549999999999997</v>
      </c>
      <c r="J106" s="74">
        <f>ROUND(((+J97*1.085)/52.2/37.69),2)</f>
        <v>37.28</v>
      </c>
      <c r="K106" s="74">
        <f>ROUND(((+K97*1.085)/52.2/37.69),2)</f>
        <v>38.03</v>
      </c>
    </row>
    <row r="108" spans="1:11" x14ac:dyDescent="0.2">
      <c r="A108" s="298" t="s">
        <v>793</v>
      </c>
    </row>
    <row r="109" spans="1:11" x14ac:dyDescent="0.2">
      <c r="B109" s="87" t="s">
        <v>739</v>
      </c>
    </row>
    <row r="110" spans="1:11" x14ac:dyDescent="0.2">
      <c r="A110" s="296" t="s">
        <v>742</v>
      </c>
      <c r="B110" s="296">
        <v>1</v>
      </c>
      <c r="C110" s="296">
        <v>2</v>
      </c>
      <c r="D110" s="296">
        <v>3</v>
      </c>
      <c r="E110" s="296">
        <v>4</v>
      </c>
      <c r="F110" s="296">
        <v>5</v>
      </c>
      <c r="G110" s="296">
        <v>6</v>
      </c>
      <c r="H110" s="296">
        <v>7</v>
      </c>
      <c r="I110" s="296">
        <v>8</v>
      </c>
      <c r="J110" s="296">
        <v>9</v>
      </c>
      <c r="K110" s="296">
        <v>10</v>
      </c>
    </row>
    <row r="111" spans="1:11" x14ac:dyDescent="0.2">
      <c r="A111" s="297" t="s">
        <v>50</v>
      </c>
      <c r="B111" s="299">
        <f>ROUND((+B130*1.01),2)</f>
        <v>13.89</v>
      </c>
      <c r="C111" s="299">
        <f t="shared" ref="C111:K111" si="45">ROUND((+C130*1.01),2)</f>
        <v>14.23</v>
      </c>
      <c r="D111" s="299">
        <f t="shared" si="45"/>
        <v>14.58</v>
      </c>
      <c r="E111" s="299">
        <f t="shared" si="45"/>
        <v>14.96</v>
      </c>
      <c r="F111" s="299">
        <f t="shared" si="45"/>
        <v>15.32</v>
      </c>
      <c r="G111" s="299">
        <f t="shared" si="45"/>
        <v>15.71</v>
      </c>
      <c r="H111" s="299">
        <f t="shared" si="45"/>
        <v>16.07</v>
      </c>
      <c r="I111" s="299">
        <f t="shared" si="45"/>
        <v>16.420000000000002</v>
      </c>
      <c r="J111" s="299">
        <f t="shared" si="45"/>
        <v>16.75</v>
      </c>
      <c r="K111" s="299">
        <f t="shared" si="45"/>
        <v>17.09</v>
      </c>
    </row>
    <row r="112" spans="1:11" x14ac:dyDescent="0.2">
      <c r="A112" s="297" t="s">
        <v>51</v>
      </c>
      <c r="B112" s="299">
        <f t="shared" ref="B112:K115" si="46">ROUND((+B131*1.01),2)</f>
        <v>16.37</v>
      </c>
      <c r="C112" s="299">
        <f t="shared" si="46"/>
        <v>16.78</v>
      </c>
      <c r="D112" s="299">
        <f t="shared" si="46"/>
        <v>17.2</v>
      </c>
      <c r="E112" s="299">
        <f t="shared" si="46"/>
        <v>17.62</v>
      </c>
      <c r="F112" s="299">
        <f t="shared" si="46"/>
        <v>18.07</v>
      </c>
      <c r="G112" s="299">
        <f t="shared" si="46"/>
        <v>18.52</v>
      </c>
      <c r="H112" s="299">
        <f t="shared" si="46"/>
        <v>18.989999999999998</v>
      </c>
      <c r="I112" s="299">
        <f t="shared" si="46"/>
        <v>19.36</v>
      </c>
      <c r="J112" s="299">
        <f t="shared" si="46"/>
        <v>19.75</v>
      </c>
      <c r="K112" s="299">
        <f t="shared" si="46"/>
        <v>20.149999999999999</v>
      </c>
    </row>
    <row r="113" spans="1:11" x14ac:dyDescent="0.2">
      <c r="A113" s="297" t="s">
        <v>52</v>
      </c>
      <c r="B113" s="299">
        <f t="shared" si="46"/>
        <v>17.61</v>
      </c>
      <c r="C113" s="299">
        <f t="shared" si="46"/>
        <v>18.059999999999999</v>
      </c>
      <c r="D113" s="299">
        <f t="shared" si="46"/>
        <v>18.5</v>
      </c>
      <c r="E113" s="299">
        <f t="shared" si="46"/>
        <v>18.97</v>
      </c>
      <c r="F113" s="299">
        <f t="shared" si="46"/>
        <v>19.440000000000001</v>
      </c>
      <c r="G113" s="299">
        <f t="shared" si="46"/>
        <v>19.940000000000001</v>
      </c>
      <c r="H113" s="299">
        <f t="shared" si="46"/>
        <v>20.420000000000002</v>
      </c>
      <c r="I113" s="299">
        <f t="shared" si="46"/>
        <v>20.83</v>
      </c>
      <c r="J113" s="299">
        <f t="shared" si="46"/>
        <v>21.25</v>
      </c>
      <c r="K113" s="299">
        <f t="shared" si="46"/>
        <v>21.67</v>
      </c>
    </row>
    <row r="114" spans="1:11" x14ac:dyDescent="0.2">
      <c r="A114" s="297" t="s">
        <v>749</v>
      </c>
      <c r="B114" s="299">
        <f t="shared" si="46"/>
        <v>19.2</v>
      </c>
      <c r="C114" s="299">
        <f t="shared" si="46"/>
        <v>19.670000000000002</v>
      </c>
      <c r="D114" s="299">
        <f t="shared" si="46"/>
        <v>20.170000000000002</v>
      </c>
      <c r="E114" s="299">
        <f t="shared" si="46"/>
        <v>20.67</v>
      </c>
      <c r="F114" s="299">
        <f t="shared" si="46"/>
        <v>21.19</v>
      </c>
      <c r="G114" s="299">
        <f t="shared" si="46"/>
        <v>21.72</v>
      </c>
      <c r="H114" s="299">
        <f t="shared" si="46"/>
        <v>22.27</v>
      </c>
      <c r="I114" s="299">
        <f t="shared" si="46"/>
        <v>22.7</v>
      </c>
      <c r="J114" s="299">
        <f t="shared" si="46"/>
        <v>23.17</v>
      </c>
      <c r="K114" s="299">
        <f t="shared" si="46"/>
        <v>23.62</v>
      </c>
    </row>
    <row r="115" spans="1:11" x14ac:dyDescent="0.2">
      <c r="A115" s="297" t="s">
        <v>748</v>
      </c>
      <c r="B115" s="299">
        <f t="shared" si="46"/>
        <v>20.72</v>
      </c>
      <c r="C115" s="299">
        <f t="shared" si="46"/>
        <v>21.24</v>
      </c>
      <c r="D115" s="299">
        <f t="shared" si="46"/>
        <v>21.77</v>
      </c>
      <c r="E115" s="299">
        <f t="shared" si="46"/>
        <v>22.32</v>
      </c>
      <c r="F115" s="299">
        <f t="shared" si="46"/>
        <v>22.87</v>
      </c>
      <c r="G115" s="299">
        <f t="shared" si="46"/>
        <v>23.44</v>
      </c>
      <c r="H115" s="299">
        <f t="shared" si="46"/>
        <v>24.04</v>
      </c>
      <c r="I115" s="299">
        <f t="shared" si="46"/>
        <v>24.51</v>
      </c>
      <c r="J115" s="299">
        <f t="shared" si="46"/>
        <v>25.01</v>
      </c>
      <c r="K115" s="299">
        <f t="shared" si="46"/>
        <v>25.5</v>
      </c>
    </row>
    <row r="116" spans="1:11" x14ac:dyDescent="0.2">
      <c r="A116" s="297" t="s">
        <v>747</v>
      </c>
      <c r="B116" s="300">
        <f>ROUND((+B135*1.01),0)</f>
        <v>52461</v>
      </c>
      <c r="C116" s="300">
        <f t="shared" ref="C116:K116" si="47">ROUND((+C135*1.01),0)</f>
        <v>53773</v>
      </c>
      <c r="D116" s="300">
        <f t="shared" si="47"/>
        <v>55117</v>
      </c>
      <c r="E116" s="300">
        <f t="shared" si="47"/>
        <v>56495</v>
      </c>
      <c r="F116" s="300">
        <f t="shared" si="47"/>
        <v>57908</v>
      </c>
      <c r="G116" s="300">
        <f t="shared" si="47"/>
        <v>59356</v>
      </c>
      <c r="H116" s="300">
        <f t="shared" si="47"/>
        <v>60543</v>
      </c>
      <c r="I116" s="300">
        <f t="shared" si="47"/>
        <v>61753</v>
      </c>
      <c r="J116" s="300">
        <f t="shared" si="47"/>
        <v>62988</v>
      </c>
      <c r="K116" s="300">
        <f t="shared" si="47"/>
        <v>64248</v>
      </c>
    </row>
    <row r="117" spans="1:11" x14ac:dyDescent="0.2">
      <c r="A117" s="297" t="s">
        <v>746</v>
      </c>
      <c r="B117" s="300">
        <f t="shared" ref="B117:K120" si="48">ROUND((+B136*1.01),0)</f>
        <v>55746</v>
      </c>
      <c r="C117" s="300">
        <f t="shared" si="48"/>
        <v>57140</v>
      </c>
      <c r="D117" s="300">
        <f t="shared" si="48"/>
        <v>58569</v>
      </c>
      <c r="E117" s="300">
        <f t="shared" si="48"/>
        <v>60033</v>
      </c>
      <c r="F117" s="300">
        <f t="shared" si="48"/>
        <v>61533</v>
      </c>
      <c r="G117" s="300">
        <f t="shared" si="48"/>
        <v>63071</v>
      </c>
      <c r="H117" s="300">
        <f t="shared" si="48"/>
        <v>64334</v>
      </c>
      <c r="I117" s="300">
        <f t="shared" si="48"/>
        <v>65620</v>
      </c>
      <c r="J117" s="300">
        <f t="shared" si="48"/>
        <v>66933</v>
      </c>
      <c r="K117" s="300">
        <f t="shared" si="48"/>
        <v>68271</v>
      </c>
    </row>
    <row r="118" spans="1:11" x14ac:dyDescent="0.2">
      <c r="A118" s="297" t="s">
        <v>745</v>
      </c>
      <c r="B118" s="300">
        <f t="shared" si="48"/>
        <v>70858</v>
      </c>
      <c r="C118" s="300">
        <f t="shared" si="48"/>
        <v>72629</v>
      </c>
      <c r="D118" s="300">
        <f t="shared" si="48"/>
        <v>74444</v>
      </c>
      <c r="E118" s="300">
        <f t="shared" si="48"/>
        <v>76306</v>
      </c>
      <c r="F118" s="300">
        <f t="shared" si="48"/>
        <v>78213</v>
      </c>
      <c r="G118" s="300">
        <f t="shared" si="48"/>
        <v>80169</v>
      </c>
      <c r="H118" s="300">
        <f t="shared" si="48"/>
        <v>82173</v>
      </c>
      <c r="I118" s="300">
        <f t="shared" si="48"/>
        <v>83817</v>
      </c>
      <c r="J118" s="300">
        <f t="shared" si="48"/>
        <v>85492</v>
      </c>
      <c r="K118" s="300">
        <f t="shared" si="48"/>
        <v>87202</v>
      </c>
    </row>
    <row r="119" spans="1:11" x14ac:dyDescent="0.2">
      <c r="A119" s="297" t="s">
        <v>744</v>
      </c>
      <c r="B119" s="300">
        <f t="shared" si="48"/>
        <v>77943</v>
      </c>
      <c r="C119" s="300">
        <f t="shared" si="48"/>
        <v>79891</v>
      </c>
      <c r="D119" s="300">
        <f t="shared" si="48"/>
        <v>81889</v>
      </c>
      <c r="E119" s="300">
        <f t="shared" si="48"/>
        <v>83936</v>
      </c>
      <c r="F119" s="300">
        <f t="shared" si="48"/>
        <v>86034</v>
      </c>
      <c r="G119" s="300">
        <f t="shared" si="48"/>
        <v>88184</v>
      </c>
      <c r="H119" s="300">
        <f t="shared" si="48"/>
        <v>90389</v>
      </c>
      <c r="I119" s="300">
        <f t="shared" si="48"/>
        <v>92198</v>
      </c>
      <c r="J119" s="300">
        <f t="shared" si="48"/>
        <v>94041</v>
      </c>
      <c r="K119" s="300">
        <f t="shared" si="48"/>
        <v>95922</v>
      </c>
    </row>
    <row r="120" spans="1:11" x14ac:dyDescent="0.2">
      <c r="A120" s="297" t="s">
        <v>743</v>
      </c>
      <c r="B120" s="300">
        <f t="shared" si="48"/>
        <v>85737</v>
      </c>
      <c r="C120" s="300">
        <f t="shared" si="48"/>
        <v>87880</v>
      </c>
      <c r="D120" s="300">
        <f t="shared" si="48"/>
        <v>90078</v>
      </c>
      <c r="E120" s="300">
        <f t="shared" si="48"/>
        <v>92330</v>
      </c>
      <c r="F120" s="300">
        <f t="shared" si="48"/>
        <v>94638</v>
      </c>
      <c r="G120" s="300">
        <f t="shared" si="48"/>
        <v>97004</v>
      </c>
      <c r="H120" s="300">
        <f t="shared" si="48"/>
        <v>99429</v>
      </c>
      <c r="I120" s="300">
        <f t="shared" si="48"/>
        <v>101417</v>
      </c>
      <c r="J120" s="300">
        <f t="shared" si="48"/>
        <v>103446</v>
      </c>
      <c r="K120" s="300">
        <f t="shared" si="48"/>
        <v>105515</v>
      </c>
    </row>
    <row r="122" spans="1:11" x14ac:dyDescent="0.2">
      <c r="A122" s="297" t="s">
        <v>33</v>
      </c>
      <c r="B122" s="87" t="s">
        <v>753</v>
      </c>
    </row>
    <row r="123" spans="1:11" x14ac:dyDescent="0.2">
      <c r="A123" s="296" t="s">
        <v>742</v>
      </c>
      <c r="B123" s="296">
        <v>1</v>
      </c>
      <c r="C123" s="296">
        <v>2</v>
      </c>
      <c r="D123" s="296">
        <v>3</v>
      </c>
      <c r="E123" s="296">
        <v>4</v>
      </c>
      <c r="F123" s="296">
        <v>5</v>
      </c>
      <c r="G123" s="296">
        <v>6</v>
      </c>
      <c r="H123" s="296">
        <v>7</v>
      </c>
      <c r="I123" s="296">
        <v>8</v>
      </c>
      <c r="J123" s="296">
        <v>9</v>
      </c>
      <c r="K123" s="296">
        <v>10</v>
      </c>
    </row>
    <row r="124" spans="1:11" x14ac:dyDescent="0.2">
      <c r="A124" s="297" t="s">
        <v>747</v>
      </c>
      <c r="B124" s="1">
        <f>ROUND((+B116/1834),2)</f>
        <v>28.6</v>
      </c>
      <c r="C124" s="1">
        <f t="shared" ref="C124:K124" si="49">ROUND((+C116/1827),2)</f>
        <v>29.43</v>
      </c>
      <c r="D124" s="1">
        <f t="shared" si="49"/>
        <v>30.17</v>
      </c>
      <c r="E124" s="1">
        <f t="shared" si="49"/>
        <v>30.92</v>
      </c>
      <c r="F124" s="1">
        <f t="shared" si="49"/>
        <v>31.7</v>
      </c>
      <c r="G124" s="1">
        <f t="shared" si="49"/>
        <v>32.49</v>
      </c>
      <c r="H124" s="1">
        <f t="shared" si="49"/>
        <v>33.14</v>
      </c>
      <c r="I124" s="1">
        <f t="shared" si="49"/>
        <v>33.799999999999997</v>
      </c>
      <c r="J124" s="1">
        <f t="shared" si="49"/>
        <v>34.479999999999997</v>
      </c>
      <c r="K124" s="1">
        <f t="shared" si="49"/>
        <v>35.17</v>
      </c>
    </row>
    <row r="125" spans="1:11" x14ac:dyDescent="0.2">
      <c r="A125" s="297" t="s">
        <v>632</v>
      </c>
      <c r="B125" s="1">
        <f>ROUND((+B116/2100),2)</f>
        <v>24.98</v>
      </c>
      <c r="C125" s="1">
        <f t="shared" ref="C125:K125" si="50">ROUND((+C116/2100),2)</f>
        <v>25.61</v>
      </c>
      <c r="D125" s="1">
        <f t="shared" si="50"/>
        <v>26.25</v>
      </c>
      <c r="E125" s="1">
        <f t="shared" si="50"/>
        <v>26.9</v>
      </c>
      <c r="F125" s="1">
        <f t="shared" si="50"/>
        <v>27.58</v>
      </c>
      <c r="G125" s="1">
        <f t="shared" si="50"/>
        <v>28.26</v>
      </c>
      <c r="H125" s="1">
        <f t="shared" si="50"/>
        <v>28.83</v>
      </c>
      <c r="I125" s="1">
        <f t="shared" si="50"/>
        <v>29.41</v>
      </c>
      <c r="J125" s="1">
        <f t="shared" si="50"/>
        <v>29.99</v>
      </c>
      <c r="K125" s="1">
        <f t="shared" si="50"/>
        <v>30.59</v>
      </c>
    </row>
    <row r="126" spans="1:11" x14ac:dyDescent="0.2">
      <c r="A126" s="150" t="s">
        <v>979</v>
      </c>
      <c r="G126" s="74">
        <f>ROUND(((+G117*1.085)/52.2/37.69),2)</f>
        <v>34.78</v>
      </c>
      <c r="H126" s="74">
        <f>ROUND(((+H117*1.085)/52.2/37.69),2)</f>
        <v>35.479999999999997</v>
      </c>
      <c r="I126" s="74">
        <f>ROUND(((+I117*1.085)/52.2/37.69),2)</f>
        <v>36.19</v>
      </c>
      <c r="J126" s="74">
        <f>ROUND(((+J117*1.085)/52.2/37.69),2)</f>
        <v>36.909999999999997</v>
      </c>
      <c r="K126" s="74">
        <f>ROUND(((+K117*1.085)/52.2/37.69),2)</f>
        <v>37.65</v>
      </c>
    </row>
    <row r="127" spans="1:11" ht="27.75" customHeight="1" x14ac:dyDescent="0.2">
      <c r="A127" s="298" t="s">
        <v>789</v>
      </c>
    </row>
    <row r="128" spans="1:11" x14ac:dyDescent="0.2">
      <c r="B128" s="87" t="s">
        <v>739</v>
      </c>
    </row>
    <row r="129" spans="1:11" x14ac:dyDescent="0.2">
      <c r="A129" s="296" t="s">
        <v>742</v>
      </c>
      <c r="B129" s="296">
        <v>1</v>
      </c>
      <c r="C129" s="296">
        <v>2</v>
      </c>
      <c r="D129" s="296">
        <v>3</v>
      </c>
      <c r="E129" s="296">
        <v>4</v>
      </c>
      <c r="F129" s="296">
        <v>5</v>
      </c>
      <c r="G129" s="296">
        <v>6</v>
      </c>
      <c r="H129" s="296">
        <v>7</v>
      </c>
      <c r="I129" s="296">
        <v>8</v>
      </c>
      <c r="J129" s="296">
        <v>9</v>
      </c>
      <c r="K129" s="296">
        <v>10</v>
      </c>
    </row>
    <row r="130" spans="1:11" x14ac:dyDescent="0.2">
      <c r="A130" s="297" t="s">
        <v>50</v>
      </c>
      <c r="B130" s="299">
        <f>ROUND((+B157*1.01),2)</f>
        <v>13.75</v>
      </c>
      <c r="C130" s="299">
        <f t="shared" ref="C130:K130" si="51">ROUND((+C157*1.01),2)</f>
        <v>14.09</v>
      </c>
      <c r="D130" s="299">
        <f t="shared" si="51"/>
        <v>14.44</v>
      </c>
      <c r="E130" s="299">
        <f t="shared" si="51"/>
        <v>14.81</v>
      </c>
      <c r="F130" s="299">
        <f t="shared" si="51"/>
        <v>15.17</v>
      </c>
      <c r="G130" s="299">
        <f t="shared" si="51"/>
        <v>15.55</v>
      </c>
      <c r="H130" s="299">
        <f t="shared" si="51"/>
        <v>15.91</v>
      </c>
      <c r="I130" s="299">
        <f t="shared" si="51"/>
        <v>16.260000000000002</v>
      </c>
      <c r="J130" s="299">
        <f t="shared" si="51"/>
        <v>16.579999999999998</v>
      </c>
      <c r="K130" s="299">
        <f t="shared" si="51"/>
        <v>16.920000000000002</v>
      </c>
    </row>
    <row r="131" spans="1:11" x14ac:dyDescent="0.2">
      <c r="A131" s="297" t="s">
        <v>51</v>
      </c>
      <c r="B131" s="299">
        <f>ROUND((+B156*1.01),2)</f>
        <v>16.21</v>
      </c>
      <c r="C131" s="299">
        <f t="shared" ref="C131:K131" si="52">ROUND((+C156*1.01),2)</f>
        <v>16.61</v>
      </c>
      <c r="D131" s="299">
        <f t="shared" si="52"/>
        <v>17.03</v>
      </c>
      <c r="E131" s="299">
        <f t="shared" si="52"/>
        <v>17.45</v>
      </c>
      <c r="F131" s="299">
        <f t="shared" si="52"/>
        <v>17.89</v>
      </c>
      <c r="G131" s="299">
        <f t="shared" si="52"/>
        <v>18.34</v>
      </c>
      <c r="H131" s="299">
        <f t="shared" si="52"/>
        <v>18.8</v>
      </c>
      <c r="I131" s="299">
        <f t="shared" si="52"/>
        <v>19.170000000000002</v>
      </c>
      <c r="J131" s="299">
        <f t="shared" si="52"/>
        <v>19.55</v>
      </c>
      <c r="K131" s="299">
        <f t="shared" si="52"/>
        <v>19.95</v>
      </c>
    </row>
    <row r="132" spans="1:11" x14ac:dyDescent="0.2">
      <c r="A132" s="297" t="s">
        <v>52</v>
      </c>
      <c r="B132" s="299">
        <f>ROUND((+B155*1.01),2)</f>
        <v>17.440000000000001</v>
      </c>
      <c r="C132" s="299">
        <f t="shared" ref="C132:K132" si="53">ROUND((+C155*1.01),2)</f>
        <v>17.88</v>
      </c>
      <c r="D132" s="299">
        <f t="shared" si="53"/>
        <v>18.32</v>
      </c>
      <c r="E132" s="299">
        <f t="shared" si="53"/>
        <v>18.78</v>
      </c>
      <c r="F132" s="299">
        <f t="shared" si="53"/>
        <v>19.25</v>
      </c>
      <c r="G132" s="299">
        <f t="shared" si="53"/>
        <v>19.739999999999998</v>
      </c>
      <c r="H132" s="299">
        <f t="shared" si="53"/>
        <v>20.22</v>
      </c>
      <c r="I132" s="299">
        <f t="shared" si="53"/>
        <v>20.62</v>
      </c>
      <c r="J132" s="299">
        <f t="shared" si="53"/>
        <v>21.04</v>
      </c>
      <c r="K132" s="299">
        <f t="shared" si="53"/>
        <v>21.46</v>
      </c>
    </row>
    <row r="133" spans="1:11" x14ac:dyDescent="0.2">
      <c r="A133" s="297" t="s">
        <v>749</v>
      </c>
      <c r="B133" s="299">
        <f>ROUND((+B154*1.01),2)</f>
        <v>19.010000000000002</v>
      </c>
      <c r="C133" s="299">
        <f t="shared" ref="C133:K133" si="54">ROUND((+C154*1.01),2)</f>
        <v>19.48</v>
      </c>
      <c r="D133" s="299">
        <f t="shared" si="54"/>
        <v>19.97</v>
      </c>
      <c r="E133" s="299">
        <f t="shared" si="54"/>
        <v>20.47</v>
      </c>
      <c r="F133" s="299">
        <f t="shared" si="54"/>
        <v>20.98</v>
      </c>
      <c r="G133" s="299">
        <f t="shared" si="54"/>
        <v>21.5</v>
      </c>
      <c r="H133" s="299">
        <f t="shared" si="54"/>
        <v>22.05</v>
      </c>
      <c r="I133" s="299">
        <f t="shared" si="54"/>
        <v>22.48</v>
      </c>
      <c r="J133" s="299">
        <f t="shared" si="54"/>
        <v>22.94</v>
      </c>
      <c r="K133" s="299">
        <f t="shared" si="54"/>
        <v>23.39</v>
      </c>
    </row>
    <row r="134" spans="1:11" x14ac:dyDescent="0.2">
      <c r="A134" s="297" t="s">
        <v>748</v>
      </c>
      <c r="B134" s="299">
        <f>ROUND((+B153*1.01),2)</f>
        <v>20.51</v>
      </c>
      <c r="C134" s="299">
        <f t="shared" ref="C134:K134" si="55">ROUND((+C153*1.01),2)</f>
        <v>21.03</v>
      </c>
      <c r="D134" s="299">
        <f t="shared" si="55"/>
        <v>21.55</v>
      </c>
      <c r="E134" s="299">
        <f t="shared" si="55"/>
        <v>22.1</v>
      </c>
      <c r="F134" s="299">
        <f t="shared" si="55"/>
        <v>22.64</v>
      </c>
      <c r="G134" s="299">
        <f t="shared" si="55"/>
        <v>23.21</v>
      </c>
      <c r="H134" s="299">
        <f t="shared" si="55"/>
        <v>23.8</v>
      </c>
      <c r="I134" s="299">
        <f t="shared" si="55"/>
        <v>24.27</v>
      </c>
      <c r="J134" s="299">
        <f t="shared" si="55"/>
        <v>24.76</v>
      </c>
      <c r="K134" s="299">
        <f t="shared" si="55"/>
        <v>25.25</v>
      </c>
    </row>
    <row r="135" spans="1:11" x14ac:dyDescent="0.2">
      <c r="A135" s="297" t="s">
        <v>747</v>
      </c>
      <c r="B135" s="300">
        <f>ROUND((+B152*1.01),0)</f>
        <v>51942</v>
      </c>
      <c r="C135" s="300">
        <f t="shared" ref="C135:K135" si="56">ROUND((+C152*1.01),0)</f>
        <v>53241</v>
      </c>
      <c r="D135" s="300">
        <f t="shared" si="56"/>
        <v>54571</v>
      </c>
      <c r="E135" s="300">
        <f t="shared" si="56"/>
        <v>55936</v>
      </c>
      <c r="F135" s="300">
        <f t="shared" si="56"/>
        <v>57335</v>
      </c>
      <c r="G135" s="300">
        <f t="shared" si="56"/>
        <v>58768</v>
      </c>
      <c r="H135" s="300">
        <f t="shared" si="56"/>
        <v>59944</v>
      </c>
      <c r="I135" s="300">
        <f t="shared" si="56"/>
        <v>61142</v>
      </c>
      <c r="J135" s="300">
        <f t="shared" si="56"/>
        <v>62364</v>
      </c>
      <c r="K135" s="300">
        <f t="shared" si="56"/>
        <v>63612</v>
      </c>
    </row>
    <row r="136" spans="1:11" x14ac:dyDescent="0.2">
      <c r="A136" s="297" t="s">
        <v>746</v>
      </c>
      <c r="B136" s="300">
        <f>ROUND((+B151*1.01),0)</f>
        <v>55194</v>
      </c>
      <c r="C136" s="300">
        <f t="shared" ref="C136:K136" si="57">ROUND((+C151*1.01),0)</f>
        <v>56574</v>
      </c>
      <c r="D136" s="300">
        <f t="shared" si="57"/>
        <v>57989</v>
      </c>
      <c r="E136" s="300">
        <f t="shared" si="57"/>
        <v>59439</v>
      </c>
      <c r="F136" s="300">
        <f t="shared" si="57"/>
        <v>60924</v>
      </c>
      <c r="G136" s="300">
        <f t="shared" si="57"/>
        <v>62447</v>
      </c>
      <c r="H136" s="300">
        <f t="shared" si="57"/>
        <v>63697</v>
      </c>
      <c r="I136" s="300">
        <f t="shared" si="57"/>
        <v>64970</v>
      </c>
      <c r="J136" s="300">
        <f t="shared" si="57"/>
        <v>66270</v>
      </c>
      <c r="K136" s="300">
        <f t="shared" si="57"/>
        <v>67595</v>
      </c>
    </row>
    <row r="137" spans="1:11" x14ac:dyDescent="0.2">
      <c r="A137" s="297" t="s">
        <v>745</v>
      </c>
      <c r="B137" s="300">
        <f>ROUND((+B150*1.01),0)</f>
        <v>70156</v>
      </c>
      <c r="C137" s="300">
        <f t="shared" ref="C137:K137" si="58">ROUND((+C150*1.01),0)</f>
        <v>71910</v>
      </c>
      <c r="D137" s="300">
        <f t="shared" si="58"/>
        <v>73707</v>
      </c>
      <c r="E137" s="300">
        <f t="shared" si="58"/>
        <v>75550</v>
      </c>
      <c r="F137" s="300">
        <f t="shared" si="58"/>
        <v>77439</v>
      </c>
      <c r="G137" s="300">
        <f t="shared" si="58"/>
        <v>79375</v>
      </c>
      <c r="H137" s="300">
        <f t="shared" si="58"/>
        <v>81359</v>
      </c>
      <c r="I137" s="300">
        <f t="shared" si="58"/>
        <v>82987</v>
      </c>
      <c r="J137" s="300">
        <f t="shared" si="58"/>
        <v>84646</v>
      </c>
      <c r="K137" s="300">
        <f t="shared" si="58"/>
        <v>86339</v>
      </c>
    </row>
    <row r="138" spans="1:11" x14ac:dyDescent="0.2">
      <c r="A138" s="297" t="s">
        <v>744</v>
      </c>
      <c r="B138" s="300">
        <f>ROUND((+B149*1.01),0)</f>
        <v>77171</v>
      </c>
      <c r="C138" s="300">
        <f t="shared" ref="C138:K138" si="59">ROUND((+C149*1.01),0)</f>
        <v>79100</v>
      </c>
      <c r="D138" s="300">
        <f t="shared" si="59"/>
        <v>81078</v>
      </c>
      <c r="E138" s="300">
        <f t="shared" si="59"/>
        <v>83105</v>
      </c>
      <c r="F138" s="300">
        <f t="shared" si="59"/>
        <v>85182</v>
      </c>
      <c r="G138" s="300">
        <f t="shared" si="59"/>
        <v>87311</v>
      </c>
      <c r="H138" s="300">
        <f t="shared" si="59"/>
        <v>89494</v>
      </c>
      <c r="I138" s="300">
        <f t="shared" si="59"/>
        <v>91285</v>
      </c>
      <c r="J138" s="300">
        <f t="shared" si="59"/>
        <v>93110</v>
      </c>
      <c r="K138" s="300">
        <f t="shared" si="59"/>
        <v>94972</v>
      </c>
    </row>
    <row r="139" spans="1:11" x14ac:dyDescent="0.2">
      <c r="A139" s="297" t="s">
        <v>743</v>
      </c>
      <c r="B139" s="300">
        <f>ROUND((+B148*1.01),0)</f>
        <v>84888</v>
      </c>
      <c r="C139" s="300">
        <f t="shared" ref="C139:K139" si="60">ROUND((+C148*1.01),0)</f>
        <v>87010</v>
      </c>
      <c r="D139" s="300">
        <f t="shared" si="60"/>
        <v>89186</v>
      </c>
      <c r="E139" s="300">
        <f t="shared" si="60"/>
        <v>91416</v>
      </c>
      <c r="F139" s="300">
        <f t="shared" si="60"/>
        <v>93701</v>
      </c>
      <c r="G139" s="300">
        <f t="shared" si="60"/>
        <v>96044</v>
      </c>
      <c r="H139" s="300">
        <f t="shared" si="60"/>
        <v>98445</v>
      </c>
      <c r="I139" s="300">
        <f t="shared" si="60"/>
        <v>100413</v>
      </c>
      <c r="J139" s="300">
        <f t="shared" si="60"/>
        <v>102422</v>
      </c>
      <c r="K139" s="300">
        <f t="shared" si="60"/>
        <v>104470</v>
      </c>
    </row>
    <row r="141" spans="1:11" x14ac:dyDescent="0.2">
      <c r="A141" s="297" t="s">
        <v>33</v>
      </c>
      <c r="B141" s="87" t="s">
        <v>753</v>
      </c>
    </row>
    <row r="142" spans="1:11" x14ac:dyDescent="0.2">
      <c r="A142" s="296" t="s">
        <v>742</v>
      </c>
      <c r="B142" s="296">
        <v>1</v>
      </c>
      <c r="C142" s="296">
        <v>2</v>
      </c>
      <c r="D142" s="296">
        <v>3</v>
      </c>
      <c r="E142" s="296">
        <v>4</v>
      </c>
      <c r="F142" s="296">
        <v>5</v>
      </c>
      <c r="G142" s="296">
        <v>6</v>
      </c>
      <c r="H142" s="296">
        <v>7</v>
      </c>
      <c r="I142" s="296">
        <v>8</v>
      </c>
      <c r="J142" s="296">
        <v>9</v>
      </c>
      <c r="K142" s="296">
        <v>10</v>
      </c>
    </row>
    <row r="143" spans="1:11" x14ac:dyDescent="0.2">
      <c r="A143" s="297" t="s">
        <v>747</v>
      </c>
      <c r="B143">
        <f>ROUND((+B135/1827),2)</f>
        <v>28.43</v>
      </c>
      <c r="C143">
        <f t="shared" ref="C143:K143" si="61">ROUND((+C135/1827),2)</f>
        <v>29.14</v>
      </c>
      <c r="D143">
        <f t="shared" si="61"/>
        <v>29.87</v>
      </c>
      <c r="E143">
        <f t="shared" si="61"/>
        <v>30.62</v>
      </c>
      <c r="F143">
        <f t="shared" si="61"/>
        <v>31.38</v>
      </c>
      <c r="G143">
        <f t="shared" si="61"/>
        <v>32.17</v>
      </c>
      <c r="H143">
        <f t="shared" si="61"/>
        <v>32.81</v>
      </c>
      <c r="I143">
        <f t="shared" si="61"/>
        <v>33.47</v>
      </c>
      <c r="J143">
        <f t="shared" si="61"/>
        <v>34.130000000000003</v>
      </c>
      <c r="K143">
        <f t="shared" si="61"/>
        <v>34.82</v>
      </c>
    </row>
    <row r="144" spans="1:11" x14ac:dyDescent="0.2">
      <c r="A144" s="297" t="s">
        <v>632</v>
      </c>
      <c r="B144" s="1">
        <f>ROUND((+B135/2090),2)</f>
        <v>24.85</v>
      </c>
      <c r="C144" s="1">
        <f t="shared" ref="C144:K144" si="62">ROUND((+C135/2090),2)</f>
        <v>25.47</v>
      </c>
      <c r="D144" s="1">
        <f t="shared" si="62"/>
        <v>26.11</v>
      </c>
      <c r="E144" s="1">
        <f t="shared" si="62"/>
        <v>26.76</v>
      </c>
      <c r="F144" s="1">
        <f t="shared" si="62"/>
        <v>27.43</v>
      </c>
      <c r="G144" s="1">
        <f t="shared" si="62"/>
        <v>28.12</v>
      </c>
      <c r="H144" s="1">
        <f t="shared" si="62"/>
        <v>28.68</v>
      </c>
      <c r="I144" s="1">
        <f t="shared" si="62"/>
        <v>29.25</v>
      </c>
      <c r="J144" s="1">
        <f t="shared" si="62"/>
        <v>29.84</v>
      </c>
      <c r="K144" s="1">
        <f t="shared" si="62"/>
        <v>30.44</v>
      </c>
    </row>
    <row r="146" spans="1:11" x14ac:dyDescent="0.2">
      <c r="A146" s="301" t="s">
        <v>78</v>
      </c>
      <c r="B146" s="302"/>
      <c r="C146" s="302"/>
      <c r="D146" s="302"/>
      <c r="E146" s="302"/>
      <c r="F146" s="302"/>
      <c r="G146" s="302"/>
      <c r="H146" s="302"/>
      <c r="I146" s="302"/>
      <c r="J146" s="302"/>
      <c r="K146" s="302"/>
    </row>
    <row r="147" spans="1:11" x14ac:dyDescent="0.2">
      <c r="A147" s="301" t="s">
        <v>742</v>
      </c>
      <c r="B147" s="301">
        <v>1</v>
      </c>
      <c r="C147" s="301">
        <v>2</v>
      </c>
      <c r="D147" s="301">
        <v>3</v>
      </c>
      <c r="E147" s="301">
        <v>4</v>
      </c>
      <c r="F147" s="301">
        <v>5</v>
      </c>
      <c r="G147" s="301">
        <v>6</v>
      </c>
      <c r="H147" s="301">
        <v>7</v>
      </c>
      <c r="I147" s="301">
        <v>8</v>
      </c>
      <c r="J147" s="301">
        <v>9</v>
      </c>
      <c r="K147" s="301">
        <v>10</v>
      </c>
    </row>
    <row r="148" spans="1:11" x14ac:dyDescent="0.2">
      <c r="A148" s="301" t="s">
        <v>743</v>
      </c>
      <c r="B148" s="303">
        <v>84048</v>
      </c>
      <c r="C148" s="303">
        <v>86149</v>
      </c>
      <c r="D148" s="303">
        <v>88303</v>
      </c>
      <c r="E148" s="303">
        <v>90511</v>
      </c>
      <c r="F148" s="303">
        <v>92773</v>
      </c>
      <c r="G148" s="303">
        <v>95093</v>
      </c>
      <c r="H148" s="303">
        <v>97470</v>
      </c>
      <c r="I148" s="303">
        <v>99419</v>
      </c>
      <c r="J148" s="303">
        <v>101408</v>
      </c>
      <c r="K148" s="303">
        <v>103436</v>
      </c>
    </row>
    <row r="149" spans="1:11" x14ac:dyDescent="0.2">
      <c r="A149" s="301" t="s">
        <v>744</v>
      </c>
      <c r="B149" s="303">
        <v>76407</v>
      </c>
      <c r="C149" s="303">
        <v>78317</v>
      </c>
      <c r="D149" s="303">
        <v>80275</v>
      </c>
      <c r="E149" s="303">
        <v>82282</v>
      </c>
      <c r="F149" s="303">
        <v>84339</v>
      </c>
      <c r="G149" s="303">
        <v>86447</v>
      </c>
      <c r="H149" s="303">
        <v>88608</v>
      </c>
      <c r="I149" s="303">
        <v>90381</v>
      </c>
      <c r="J149" s="303">
        <v>92188</v>
      </c>
      <c r="K149" s="303">
        <v>94032</v>
      </c>
    </row>
    <row r="150" spans="1:11" x14ac:dyDescent="0.2">
      <c r="A150" s="301" t="s">
        <v>745</v>
      </c>
      <c r="B150" s="303">
        <v>69461</v>
      </c>
      <c r="C150" s="303">
        <v>71198</v>
      </c>
      <c r="D150" s="303">
        <v>72977</v>
      </c>
      <c r="E150" s="303">
        <v>74802</v>
      </c>
      <c r="F150" s="303">
        <v>76672</v>
      </c>
      <c r="G150" s="303">
        <v>78589</v>
      </c>
      <c r="H150" s="303">
        <v>80553</v>
      </c>
      <c r="I150" s="303">
        <v>82165</v>
      </c>
      <c r="J150" s="303">
        <v>83808</v>
      </c>
      <c r="K150" s="303">
        <v>85484</v>
      </c>
    </row>
    <row r="151" spans="1:11" x14ac:dyDescent="0.2">
      <c r="A151" s="301" t="s">
        <v>746</v>
      </c>
      <c r="B151" s="303">
        <v>54648</v>
      </c>
      <c r="C151" s="303">
        <v>56014</v>
      </c>
      <c r="D151" s="303">
        <v>57415</v>
      </c>
      <c r="E151" s="303">
        <v>58850</v>
      </c>
      <c r="F151" s="303">
        <v>60321</v>
      </c>
      <c r="G151" s="303">
        <v>61829</v>
      </c>
      <c r="H151" s="303">
        <v>63066</v>
      </c>
      <c r="I151" s="303">
        <v>64327</v>
      </c>
      <c r="J151" s="303">
        <v>65614</v>
      </c>
      <c r="K151" s="303">
        <v>66926</v>
      </c>
    </row>
    <row r="152" spans="1:11" x14ac:dyDescent="0.2">
      <c r="A152" s="301" t="s">
        <v>747</v>
      </c>
      <c r="B152" s="303">
        <v>51428</v>
      </c>
      <c r="C152" s="303">
        <v>52714</v>
      </c>
      <c r="D152" s="303">
        <v>54031</v>
      </c>
      <c r="E152" s="303">
        <v>55382</v>
      </c>
      <c r="F152" s="303">
        <v>56767</v>
      </c>
      <c r="G152" s="303">
        <v>58186</v>
      </c>
      <c r="H152" s="303">
        <v>59350</v>
      </c>
      <c r="I152" s="303">
        <v>60537</v>
      </c>
      <c r="J152" s="303">
        <v>61747</v>
      </c>
      <c r="K152" s="303">
        <v>62982</v>
      </c>
    </row>
    <row r="153" spans="1:11" x14ac:dyDescent="0.2">
      <c r="A153" s="301" t="s">
        <v>748</v>
      </c>
      <c r="B153" s="304">
        <v>20.309999999999999</v>
      </c>
      <c r="C153" s="304">
        <v>20.82</v>
      </c>
      <c r="D153" s="304">
        <v>21.34</v>
      </c>
      <c r="E153" s="304">
        <v>21.88</v>
      </c>
      <c r="F153" s="304">
        <v>22.42</v>
      </c>
      <c r="G153" s="304">
        <v>22.98</v>
      </c>
      <c r="H153" s="304">
        <v>23.56</v>
      </c>
      <c r="I153" s="304">
        <v>24.03</v>
      </c>
      <c r="J153" s="304">
        <v>24.51</v>
      </c>
      <c r="K153" s="304">
        <v>25</v>
      </c>
    </row>
    <row r="154" spans="1:11" x14ac:dyDescent="0.2">
      <c r="A154" s="301" t="s">
        <v>749</v>
      </c>
      <c r="B154" s="304">
        <v>18.82</v>
      </c>
      <c r="C154" s="304">
        <v>19.29</v>
      </c>
      <c r="D154" s="304">
        <v>19.77</v>
      </c>
      <c r="E154" s="304">
        <v>20.27</v>
      </c>
      <c r="F154" s="304">
        <v>20.77</v>
      </c>
      <c r="G154" s="304">
        <v>21.29</v>
      </c>
      <c r="H154" s="304">
        <v>21.83</v>
      </c>
      <c r="I154" s="304">
        <v>22.26</v>
      </c>
      <c r="J154" s="304">
        <v>22.71</v>
      </c>
      <c r="K154" s="304">
        <v>23.16</v>
      </c>
    </row>
    <row r="155" spans="1:11" x14ac:dyDescent="0.2">
      <c r="A155" s="301" t="s">
        <v>52</v>
      </c>
      <c r="B155" s="304">
        <v>17.27</v>
      </c>
      <c r="C155" s="304">
        <v>17.7</v>
      </c>
      <c r="D155" s="304">
        <v>18.14</v>
      </c>
      <c r="E155" s="304">
        <v>18.59</v>
      </c>
      <c r="F155" s="304">
        <v>19.059999999999999</v>
      </c>
      <c r="G155" s="304">
        <v>19.54</v>
      </c>
      <c r="H155" s="304">
        <v>20.02</v>
      </c>
      <c r="I155" s="304">
        <v>20.420000000000002</v>
      </c>
      <c r="J155" s="304">
        <v>20.83</v>
      </c>
      <c r="K155" s="304">
        <v>21.25</v>
      </c>
    </row>
    <row r="156" spans="1:11" x14ac:dyDescent="0.2">
      <c r="A156" s="301" t="s">
        <v>51</v>
      </c>
      <c r="B156" s="304">
        <v>16.05</v>
      </c>
      <c r="C156" s="304">
        <v>16.45</v>
      </c>
      <c r="D156" s="304">
        <v>16.86</v>
      </c>
      <c r="E156" s="304">
        <v>17.28</v>
      </c>
      <c r="F156" s="304">
        <v>17.71</v>
      </c>
      <c r="G156" s="304">
        <v>18.16</v>
      </c>
      <c r="H156" s="304">
        <v>18.61</v>
      </c>
      <c r="I156" s="304">
        <v>18.98</v>
      </c>
      <c r="J156" s="304">
        <v>19.36</v>
      </c>
      <c r="K156" s="304">
        <v>19.75</v>
      </c>
    </row>
    <row r="157" spans="1:11" x14ac:dyDescent="0.2">
      <c r="A157" s="301" t="s">
        <v>50</v>
      </c>
      <c r="B157" s="304">
        <v>13.61</v>
      </c>
      <c r="C157" s="304">
        <v>13.95</v>
      </c>
      <c r="D157" s="304">
        <v>14.3</v>
      </c>
      <c r="E157" s="304">
        <v>14.66</v>
      </c>
      <c r="F157" s="304">
        <v>15.02</v>
      </c>
      <c r="G157" s="304">
        <v>15.4</v>
      </c>
      <c r="H157" s="304">
        <v>15.75</v>
      </c>
      <c r="I157" s="304">
        <v>16.100000000000001</v>
      </c>
      <c r="J157" s="304">
        <v>16.420000000000002</v>
      </c>
      <c r="K157" s="304">
        <v>16.75</v>
      </c>
    </row>
    <row r="158" spans="1:11" x14ac:dyDescent="0.2">
      <c r="A158" s="296"/>
      <c r="B158" s="131"/>
      <c r="C158" s="131"/>
      <c r="D158" s="131"/>
      <c r="E158" s="131"/>
      <c r="F158" s="131"/>
      <c r="G158" s="131"/>
      <c r="H158" s="131"/>
      <c r="I158" s="131"/>
      <c r="J158" s="131"/>
      <c r="K158" s="131"/>
    </row>
    <row r="159" spans="1:11" x14ac:dyDescent="0.2">
      <c r="A159" s="297" t="s">
        <v>632</v>
      </c>
      <c r="B159" s="1">
        <f>ROUND((+B152/2090),2)</f>
        <v>24.61</v>
      </c>
      <c r="C159" s="1">
        <f t="shared" ref="C159:K159" si="63">ROUND((+C152/2090),2)</f>
        <v>25.22</v>
      </c>
      <c r="D159" s="1">
        <f t="shared" si="63"/>
        <v>25.85</v>
      </c>
      <c r="E159" s="1">
        <f t="shared" si="63"/>
        <v>26.5</v>
      </c>
      <c r="F159" s="1">
        <f t="shared" si="63"/>
        <v>27.16</v>
      </c>
      <c r="G159" s="1">
        <f t="shared" si="63"/>
        <v>27.84</v>
      </c>
      <c r="H159" s="1">
        <f t="shared" si="63"/>
        <v>28.4</v>
      </c>
      <c r="I159" s="1">
        <f t="shared" si="63"/>
        <v>28.97</v>
      </c>
      <c r="J159" s="1">
        <f t="shared" si="63"/>
        <v>29.54</v>
      </c>
      <c r="K159" s="1">
        <f t="shared" si="63"/>
        <v>30.13</v>
      </c>
    </row>
  </sheetData>
  <hyperlinks>
    <hyperlink ref="G1" location="'Table of Contents'!A1" display="TOC"/>
  </hyperlinks>
  <pageMargins left="0.7" right="0.7" top="0.75" bottom="0.75" header="0.3" footer="0.3"/>
  <pageSetup scale="96" orientation="portrait" r:id="rId1"/>
  <headerFooter>
    <oddFooter>&amp;L&amp;D &amp;T&amp;C&amp;F&amp;R&amp;A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8"/>
  <sheetViews>
    <sheetView workbookViewId="0"/>
  </sheetViews>
  <sheetFormatPr defaultRowHeight="12.75" x14ac:dyDescent="0.2"/>
  <sheetData>
    <row r="1" spans="1:3" x14ac:dyDescent="0.2">
      <c r="A1" s="410" t="s">
        <v>1418</v>
      </c>
    </row>
    <row r="2" spans="1:3" x14ac:dyDescent="0.2">
      <c r="A2" s="254" t="s">
        <v>1082</v>
      </c>
      <c r="B2" s="254" t="s">
        <v>1086</v>
      </c>
    </row>
    <row r="3" spans="1:3" x14ac:dyDescent="0.2">
      <c r="A3" t="s">
        <v>715</v>
      </c>
      <c r="B3" s="254" t="s">
        <v>1071</v>
      </c>
    </row>
    <row r="4" spans="1:3" x14ac:dyDescent="0.2">
      <c r="A4">
        <v>5</v>
      </c>
      <c r="B4">
        <v>300</v>
      </c>
    </row>
    <row r="5" spans="1:3" x14ac:dyDescent="0.2">
      <c r="A5">
        <v>10</v>
      </c>
      <c r="B5">
        <v>500</v>
      </c>
    </row>
    <row r="6" spans="1:3" x14ac:dyDescent="0.2">
      <c r="A6">
        <v>15</v>
      </c>
      <c r="B6">
        <v>800</v>
      </c>
    </row>
    <row r="7" spans="1:3" x14ac:dyDescent="0.2">
      <c r="A7">
        <v>20</v>
      </c>
      <c r="B7">
        <v>900</v>
      </c>
    </row>
    <row r="8" spans="1:3" x14ac:dyDescent="0.2">
      <c r="A8">
        <v>25</v>
      </c>
      <c r="B8">
        <v>1000</v>
      </c>
    </row>
    <row r="9" spans="1:3" x14ac:dyDescent="0.2">
      <c r="A9">
        <v>30</v>
      </c>
      <c r="B9">
        <v>1100</v>
      </c>
    </row>
    <row r="11" spans="1:3" x14ac:dyDescent="0.2">
      <c r="A11" s="254" t="s">
        <v>1083</v>
      </c>
      <c r="B11" s="254" t="s">
        <v>1084</v>
      </c>
      <c r="C11" t="s">
        <v>716</v>
      </c>
    </row>
    <row r="12" spans="1:3" x14ac:dyDescent="0.2">
      <c r="A12" t="s">
        <v>715</v>
      </c>
    </row>
    <row r="13" spans="1:3" x14ac:dyDescent="0.2">
      <c r="A13">
        <v>2</v>
      </c>
      <c r="B13">
        <v>300</v>
      </c>
    </row>
    <row r="14" spans="1:3" x14ac:dyDescent="0.2">
      <c r="A14">
        <v>5</v>
      </c>
      <c r="B14">
        <v>400</v>
      </c>
    </row>
    <row r="15" spans="1:3" x14ac:dyDescent="0.2">
      <c r="A15">
        <v>10</v>
      </c>
      <c r="B15">
        <v>500</v>
      </c>
    </row>
    <row r="16" spans="1:3" x14ac:dyDescent="0.2">
      <c r="A16">
        <v>15</v>
      </c>
      <c r="B16">
        <v>600</v>
      </c>
    </row>
    <row r="17" spans="1:2" x14ac:dyDescent="0.2">
      <c r="A17">
        <v>20</v>
      </c>
      <c r="B17">
        <v>700</v>
      </c>
    </row>
    <row r="18" spans="1:2" x14ac:dyDescent="0.2">
      <c r="A18">
        <v>25</v>
      </c>
      <c r="B18">
        <v>800</v>
      </c>
    </row>
    <row r="19" spans="1:2" x14ac:dyDescent="0.2">
      <c r="A19">
        <v>30</v>
      </c>
      <c r="B19">
        <v>900</v>
      </c>
    </row>
    <row r="21" spans="1:2" x14ac:dyDescent="0.2">
      <c r="A21" t="s">
        <v>717</v>
      </c>
      <c r="B21" s="254" t="s">
        <v>1085</v>
      </c>
    </row>
    <row r="22" spans="1:2" x14ac:dyDescent="0.2">
      <c r="A22" t="s">
        <v>715</v>
      </c>
    </row>
    <row r="23" spans="1:2" x14ac:dyDescent="0.2">
      <c r="A23">
        <v>5</v>
      </c>
      <c r="B23">
        <v>200</v>
      </c>
    </row>
    <row r="24" spans="1:2" x14ac:dyDescent="0.2">
      <c r="A24">
        <v>10</v>
      </c>
      <c r="B24">
        <v>300</v>
      </c>
    </row>
    <row r="25" spans="1:2" x14ac:dyDescent="0.2">
      <c r="A25">
        <v>15</v>
      </c>
      <c r="B25">
        <v>400</v>
      </c>
    </row>
    <row r="26" spans="1:2" x14ac:dyDescent="0.2">
      <c r="A26">
        <v>20</v>
      </c>
      <c r="B26">
        <v>500</v>
      </c>
    </row>
    <row r="27" spans="1:2" x14ac:dyDescent="0.2">
      <c r="A27">
        <v>25</v>
      </c>
      <c r="B27">
        <v>600</v>
      </c>
    </row>
    <row r="28" spans="1:2" x14ac:dyDescent="0.2">
      <c r="A28">
        <v>30</v>
      </c>
      <c r="B28">
        <v>700</v>
      </c>
    </row>
  </sheetData>
  <phoneticPr fontId="15" type="noConversion"/>
  <hyperlinks>
    <hyperlink ref="A1" location="'Table of Contents'!A1" display="TOC"/>
  </hyperlinks>
  <pageMargins left="0.75" right="0.75" top="1" bottom="1" header="0.5" footer="0.5"/>
  <pageSetup orientation="portrait" r:id="rId1"/>
  <headerFooter alignWithMargins="0">
    <oddFooter>&amp;L&amp;D &amp;T&amp;C&amp;F&amp;R&amp;A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1"/>
  <sheetViews>
    <sheetView zoomScale="85" workbookViewId="0">
      <pane ySplit="7" topLeftCell="A8" activePane="bottomLeft" state="frozen"/>
      <selection activeCell="H64" sqref="H64"/>
      <selection pane="bottomLeft" activeCell="K15" sqref="K15"/>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2" width="14.5" style="1" customWidth="1"/>
    <col min="13" max="13" width="14.5" customWidth="1"/>
    <col min="15" max="15" width="14.5" customWidth="1"/>
    <col min="16" max="16" width="14.6640625" customWidth="1"/>
  </cols>
  <sheetData>
    <row r="1" spans="1:15" x14ac:dyDescent="0.2">
      <c r="A1" s="410" t="s">
        <v>1012</v>
      </c>
      <c r="B1" s="410" t="s">
        <v>1418</v>
      </c>
    </row>
    <row r="2" spans="1:15" ht="15" x14ac:dyDescent="0.25">
      <c r="A2" s="49" t="s">
        <v>254</v>
      </c>
      <c r="B2" s="49"/>
      <c r="E2" s="153"/>
      <c r="H2" s="153" t="s">
        <v>252</v>
      </c>
      <c r="I2" s="153"/>
      <c r="J2" s="153"/>
      <c r="K2" s="67" t="s">
        <v>270</v>
      </c>
      <c r="M2" s="50" t="s">
        <v>255</v>
      </c>
    </row>
    <row r="3" spans="1:15" ht="13.5" thickBot="1" x14ac:dyDescent="0.25">
      <c r="A3" s="4"/>
      <c r="B3" s="4"/>
      <c r="C3" s="25"/>
      <c r="D3" s="25"/>
      <c r="E3" s="25"/>
      <c r="F3" s="25"/>
      <c r="G3" s="25"/>
      <c r="H3" s="25"/>
      <c r="I3" s="25"/>
      <c r="J3" s="25"/>
      <c r="K3" s="4"/>
      <c r="L3" s="25"/>
      <c r="M3" s="4"/>
      <c r="O3" s="4"/>
    </row>
    <row r="4" spans="1:15" ht="13.5" thickTop="1" x14ac:dyDescent="0.2">
      <c r="A4" s="5"/>
      <c r="B4" s="726"/>
      <c r="C4" s="138" t="s">
        <v>122</v>
      </c>
      <c r="D4" s="279" t="s">
        <v>122</v>
      </c>
      <c r="E4" s="279" t="s">
        <v>122</v>
      </c>
      <c r="F4" s="279" t="s">
        <v>122</v>
      </c>
      <c r="G4" s="279" t="s">
        <v>122</v>
      </c>
      <c r="H4" s="279" t="s">
        <v>122</v>
      </c>
      <c r="I4" s="317" t="s">
        <v>122</v>
      </c>
      <c r="J4" s="317" t="s">
        <v>542</v>
      </c>
      <c r="K4" s="119" t="s">
        <v>489</v>
      </c>
      <c r="L4" s="91" t="s">
        <v>900</v>
      </c>
      <c r="M4" s="7" t="s">
        <v>900</v>
      </c>
    </row>
    <row r="5" spans="1:15" x14ac:dyDescent="0.2">
      <c r="A5" s="93"/>
      <c r="B5" s="216"/>
      <c r="C5" s="137"/>
      <c r="D5" s="94"/>
      <c r="E5" s="120"/>
      <c r="F5" s="94"/>
      <c r="G5" s="94"/>
      <c r="H5" s="94"/>
      <c r="I5" s="318"/>
      <c r="J5" s="318"/>
      <c r="K5" s="120" t="s">
        <v>509</v>
      </c>
      <c r="L5" s="95" t="s">
        <v>7</v>
      </c>
      <c r="M5" s="209" t="s">
        <v>783</v>
      </c>
    </row>
    <row r="6" spans="1:15" x14ac:dyDescent="0.2">
      <c r="A6" s="93"/>
      <c r="B6" s="216"/>
      <c r="C6" s="137"/>
      <c r="D6" s="137"/>
      <c r="E6" s="137"/>
      <c r="F6" s="137"/>
      <c r="G6" s="137"/>
      <c r="H6" s="137"/>
      <c r="I6" s="95"/>
      <c r="J6" s="95"/>
      <c r="K6" s="137"/>
      <c r="L6" s="95" t="s">
        <v>8</v>
      </c>
      <c r="M6" s="51" t="s">
        <v>537</v>
      </c>
    </row>
    <row r="7" spans="1:15"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5" ht="13.5" thickTop="1" x14ac:dyDescent="0.2">
      <c r="A8" s="47"/>
      <c r="B8" s="52"/>
      <c r="C8" s="354"/>
      <c r="D8" s="107"/>
      <c r="E8" s="107"/>
      <c r="F8" s="107"/>
      <c r="G8" s="107"/>
      <c r="H8" s="107"/>
      <c r="I8" s="107"/>
      <c r="J8" s="53"/>
      <c r="K8" s="107"/>
      <c r="L8" s="53"/>
      <c r="M8" s="53"/>
    </row>
    <row r="9" spans="1:15" ht="13.5" thickBot="1" x14ac:dyDescent="0.25">
      <c r="A9" s="13">
        <v>5115</v>
      </c>
      <c r="B9" s="54" t="s">
        <v>374</v>
      </c>
      <c r="C9" s="141">
        <v>327</v>
      </c>
      <c r="D9" s="16">
        <v>340</v>
      </c>
      <c r="E9" s="16">
        <v>340</v>
      </c>
      <c r="F9" s="16">
        <v>340</v>
      </c>
      <c r="G9" s="16">
        <v>340</v>
      </c>
      <c r="H9" s="16">
        <v>350</v>
      </c>
      <c r="I9" s="16">
        <v>350</v>
      </c>
      <c r="J9" s="17">
        <v>370</v>
      </c>
      <c r="K9" s="16"/>
      <c r="L9" s="17">
        <v>370</v>
      </c>
      <c r="M9" s="17"/>
    </row>
    <row r="10" spans="1:15" x14ac:dyDescent="0.2">
      <c r="A10" s="13"/>
      <c r="B10" s="55" t="s">
        <v>125</v>
      </c>
      <c r="C10" s="142">
        <f t="shared" ref="C10:L10" si="0">+C9</f>
        <v>327</v>
      </c>
      <c r="D10" s="19">
        <f t="shared" si="0"/>
        <v>340</v>
      </c>
      <c r="E10" s="19">
        <f t="shared" si="0"/>
        <v>340</v>
      </c>
      <c r="F10" s="19">
        <f>+F9</f>
        <v>340</v>
      </c>
      <c r="G10" s="19">
        <f>+G9</f>
        <v>340</v>
      </c>
      <c r="H10" s="19">
        <f>+H9</f>
        <v>350</v>
      </c>
      <c r="I10" s="19">
        <f>+I9</f>
        <v>350</v>
      </c>
      <c r="J10" s="38">
        <f t="shared" ref="J10" si="1">+J9</f>
        <v>370</v>
      </c>
      <c r="K10" s="19">
        <f t="shared" si="0"/>
        <v>0</v>
      </c>
      <c r="L10" s="38">
        <f t="shared" si="0"/>
        <v>370</v>
      </c>
      <c r="M10" s="38"/>
    </row>
    <row r="11" spans="1:15" x14ac:dyDescent="0.2">
      <c r="A11" s="13"/>
      <c r="B11" s="54"/>
      <c r="C11" s="140"/>
      <c r="D11" s="14"/>
      <c r="E11" s="14"/>
      <c r="F11" s="14"/>
      <c r="G11" s="14"/>
      <c r="H11" s="14"/>
      <c r="I11" s="14"/>
      <c r="J11" s="15"/>
      <c r="K11" s="14"/>
      <c r="L11" s="15"/>
      <c r="M11" s="15"/>
    </row>
    <row r="12" spans="1:15" x14ac:dyDescent="0.2">
      <c r="A12" s="13">
        <v>5279</v>
      </c>
      <c r="B12" s="54" t="s">
        <v>126</v>
      </c>
      <c r="C12" s="140"/>
      <c r="D12" s="14">
        <v>0</v>
      </c>
      <c r="E12" s="14"/>
      <c r="F12" s="14"/>
      <c r="G12" s="14"/>
      <c r="H12" s="14"/>
      <c r="I12" s="156"/>
      <c r="J12" s="132"/>
      <c r="K12" s="14"/>
      <c r="L12" s="132"/>
      <c r="M12" s="132"/>
    </row>
    <row r="13" spans="1:15" x14ac:dyDescent="0.2">
      <c r="A13" s="13">
        <v>5314</v>
      </c>
      <c r="B13" s="54" t="s">
        <v>1029</v>
      </c>
      <c r="C13" s="263"/>
      <c r="D13" s="39"/>
      <c r="E13" s="39"/>
      <c r="F13" s="39"/>
      <c r="G13" s="39">
        <v>37</v>
      </c>
      <c r="H13" s="39"/>
      <c r="I13" s="244"/>
      <c r="J13" s="135"/>
      <c r="K13" s="39"/>
      <c r="L13" s="135"/>
      <c r="M13" s="135"/>
    </row>
    <row r="14" spans="1:15" x14ac:dyDescent="0.2">
      <c r="A14" s="13">
        <v>5315</v>
      </c>
      <c r="B14" s="54" t="s">
        <v>981</v>
      </c>
      <c r="C14" s="263">
        <v>300</v>
      </c>
      <c r="D14" s="39">
        <v>105</v>
      </c>
      <c r="E14" s="39">
        <v>165</v>
      </c>
      <c r="F14" s="39">
        <v>165</v>
      </c>
      <c r="G14" s="39">
        <v>120</v>
      </c>
      <c r="H14" s="39">
        <v>165</v>
      </c>
      <c r="I14" s="39">
        <v>185</v>
      </c>
      <c r="J14" s="40">
        <v>180</v>
      </c>
      <c r="K14" s="39">
        <v>20</v>
      </c>
      <c r="L14" s="40">
        <v>200</v>
      </c>
      <c r="M14" s="40"/>
    </row>
    <row r="15" spans="1:15" x14ac:dyDescent="0.2">
      <c r="A15" s="13">
        <v>5344</v>
      </c>
      <c r="B15" s="54" t="s">
        <v>137</v>
      </c>
      <c r="C15" s="140">
        <v>403.4</v>
      </c>
      <c r="D15" s="14">
        <v>452.78</v>
      </c>
      <c r="E15" s="14">
        <v>550.83000000000004</v>
      </c>
      <c r="F15" s="14">
        <v>253.05</v>
      </c>
      <c r="G15" s="14">
        <v>487.99</v>
      </c>
      <c r="H15" s="14">
        <v>600.05999999999995</v>
      </c>
      <c r="I15" s="14">
        <v>621.99</v>
      </c>
      <c r="J15" s="15">
        <v>700</v>
      </c>
      <c r="K15" s="14"/>
      <c r="L15" s="15">
        <v>700</v>
      </c>
      <c r="M15" s="15"/>
    </row>
    <row r="16" spans="1:15" x14ac:dyDescent="0.2">
      <c r="A16" s="13">
        <v>5420</v>
      </c>
      <c r="B16" s="54" t="s">
        <v>1130</v>
      </c>
      <c r="C16" s="140"/>
      <c r="D16" s="14"/>
      <c r="E16" s="14"/>
      <c r="F16" s="14"/>
      <c r="G16" s="14"/>
      <c r="H16" s="14"/>
      <c r="I16" s="136">
        <v>0</v>
      </c>
      <c r="J16" s="134">
        <v>150</v>
      </c>
      <c r="K16" s="14"/>
      <c r="L16" s="134">
        <v>150</v>
      </c>
      <c r="M16" s="15"/>
    </row>
    <row r="17" spans="1:15" x14ac:dyDescent="0.2">
      <c r="A17" s="13">
        <v>5490</v>
      </c>
      <c r="B17" s="54" t="s">
        <v>797</v>
      </c>
      <c r="C17" s="140">
        <v>511.33</v>
      </c>
      <c r="D17" s="14">
        <v>505.6</v>
      </c>
      <c r="E17" s="14">
        <v>538.77</v>
      </c>
      <c r="F17" s="14">
        <v>590.80999999999995</v>
      </c>
      <c r="G17" s="14">
        <v>576.74</v>
      </c>
      <c r="H17" s="14">
        <v>595.02</v>
      </c>
      <c r="I17" s="14">
        <v>618.01</v>
      </c>
      <c r="J17" s="15">
        <v>650</v>
      </c>
      <c r="K17" s="14"/>
      <c r="L17" s="15">
        <v>650</v>
      </c>
      <c r="M17" s="15"/>
    </row>
    <row r="18" spans="1:15" x14ac:dyDescent="0.2">
      <c r="A18" s="13">
        <v>5586</v>
      </c>
      <c r="B18" s="54" t="s">
        <v>1210</v>
      </c>
      <c r="C18" s="142"/>
      <c r="D18" s="19"/>
      <c r="E18" s="19"/>
      <c r="F18" s="19"/>
      <c r="G18" s="19"/>
      <c r="H18" s="19">
        <v>53.74</v>
      </c>
      <c r="I18" s="19"/>
      <c r="J18" s="20"/>
      <c r="K18" s="19"/>
      <c r="L18" s="20"/>
      <c r="M18" s="20"/>
    </row>
    <row r="19" spans="1:15" x14ac:dyDescent="0.2">
      <c r="A19" s="13">
        <v>5710</v>
      </c>
      <c r="B19" s="54" t="s">
        <v>128</v>
      </c>
      <c r="C19" s="19"/>
      <c r="D19" s="19">
        <v>0</v>
      </c>
      <c r="E19" s="19"/>
      <c r="F19" s="19"/>
      <c r="G19" s="19"/>
      <c r="H19" s="19"/>
      <c r="I19" s="19"/>
      <c r="J19" s="20"/>
      <c r="K19" s="19"/>
      <c r="L19" s="20"/>
      <c r="M19" s="20"/>
    </row>
    <row r="20" spans="1:15" ht="13.5" thickBot="1" x14ac:dyDescent="0.25">
      <c r="A20" s="13">
        <v>5730</v>
      </c>
      <c r="B20" s="54" t="s">
        <v>129</v>
      </c>
      <c r="C20" s="16">
        <v>20</v>
      </c>
      <c r="D20" s="16">
        <v>20</v>
      </c>
      <c r="E20" s="16">
        <v>20</v>
      </c>
      <c r="F20" s="16">
        <v>20</v>
      </c>
      <c r="G20" s="16">
        <v>20</v>
      </c>
      <c r="H20" s="16">
        <v>20</v>
      </c>
      <c r="I20" s="16">
        <v>25</v>
      </c>
      <c r="J20" s="17">
        <v>20</v>
      </c>
      <c r="K20" s="16"/>
      <c r="L20" s="17">
        <v>20</v>
      </c>
      <c r="M20" s="17"/>
    </row>
    <row r="21" spans="1:15" x14ac:dyDescent="0.2">
      <c r="A21" s="13"/>
      <c r="B21" s="55" t="s">
        <v>442</v>
      </c>
      <c r="C21" s="19">
        <f t="shared" ref="C21:L21" si="2">SUM(C12:C20)</f>
        <v>1234.73</v>
      </c>
      <c r="D21" s="19">
        <f t="shared" si="2"/>
        <v>1083.3800000000001</v>
      </c>
      <c r="E21" s="19">
        <f t="shared" si="2"/>
        <v>1274.5999999999999</v>
      </c>
      <c r="F21" s="19">
        <f>SUM(F14:F20)</f>
        <v>1028.8599999999999</v>
      </c>
      <c r="G21" s="19">
        <f>SUM(G12:G20)</f>
        <v>1241.73</v>
      </c>
      <c r="H21" s="19">
        <f>SUM(H12:H20)</f>
        <v>1433.82</v>
      </c>
      <c r="I21" s="19">
        <f>SUM(I12:I20)</f>
        <v>1450</v>
      </c>
      <c r="J21" s="20">
        <f t="shared" ref="J21" si="3">SUM(J12:J20)</f>
        <v>1700</v>
      </c>
      <c r="K21" s="19">
        <f t="shared" si="2"/>
        <v>20</v>
      </c>
      <c r="L21" s="20">
        <f t="shared" si="2"/>
        <v>1720</v>
      </c>
      <c r="M21" s="20">
        <f>SUM(M12:M20)</f>
        <v>0</v>
      </c>
    </row>
    <row r="22" spans="1:15" x14ac:dyDescent="0.2">
      <c r="A22" s="13"/>
      <c r="B22" s="54"/>
      <c r="C22" s="14"/>
      <c r="D22" s="14"/>
      <c r="E22" s="14"/>
      <c r="F22" s="14"/>
      <c r="G22" s="14"/>
      <c r="H22" s="14"/>
      <c r="I22" s="14"/>
      <c r="J22" s="15"/>
      <c r="K22" s="14"/>
      <c r="L22" s="15"/>
      <c r="M22" s="15"/>
    </row>
    <row r="23" spans="1:15" ht="13.5" thickBot="1" x14ac:dyDescent="0.25">
      <c r="A23" s="48"/>
      <c r="B23" s="56" t="s">
        <v>271</v>
      </c>
      <c r="C23" s="23">
        <f t="shared" ref="C23:L23" si="4">+C21+C10</f>
        <v>1561.73</v>
      </c>
      <c r="D23" s="23">
        <f t="shared" si="4"/>
        <v>1423.38</v>
      </c>
      <c r="E23" s="23">
        <f t="shared" si="4"/>
        <v>1614.6</v>
      </c>
      <c r="F23" s="23">
        <f>+F21+F10</f>
        <v>1368.86</v>
      </c>
      <c r="G23" s="23">
        <f>+G21+G10</f>
        <v>1581.73</v>
      </c>
      <c r="H23" s="23">
        <f>+H21+H10</f>
        <v>1783.82</v>
      </c>
      <c r="I23" s="23">
        <f t="shared" si="4"/>
        <v>1800</v>
      </c>
      <c r="J23" s="43">
        <f t="shared" ref="J23" si="5">+J21+J10</f>
        <v>2070</v>
      </c>
      <c r="K23" s="23">
        <f t="shared" si="4"/>
        <v>20</v>
      </c>
      <c r="L23" s="43">
        <f t="shared" si="4"/>
        <v>2090</v>
      </c>
      <c r="M23" s="43">
        <f>+L23</f>
        <v>2090</v>
      </c>
    </row>
    <row r="24" spans="1:15" ht="13.5" thickTop="1" x14ac:dyDescent="0.2">
      <c r="A24" s="4"/>
      <c r="B24" s="4"/>
      <c r="C24" s="25"/>
      <c r="D24" s="25"/>
      <c r="E24" s="25"/>
      <c r="F24" s="25"/>
      <c r="G24" s="25"/>
      <c r="H24" s="25"/>
      <c r="I24" s="25"/>
      <c r="J24" s="25"/>
      <c r="K24" s="29"/>
      <c r="L24" s="25"/>
      <c r="M24" s="29"/>
      <c r="O24" s="29"/>
    </row>
    <row r="25" spans="1:15" ht="13.5" thickBot="1" x14ac:dyDescent="0.25">
      <c r="A25" s="72"/>
      <c r="B25" s="4"/>
      <c r="C25" s="25"/>
      <c r="D25" s="25"/>
      <c r="E25" s="25"/>
      <c r="F25" s="25"/>
      <c r="G25" s="25"/>
      <c r="H25" s="25"/>
      <c r="I25" s="25"/>
      <c r="J25" s="25"/>
      <c r="K25" s="29"/>
      <c r="L25" s="25"/>
      <c r="M25" s="29"/>
      <c r="O25" s="29"/>
    </row>
    <row r="26" spans="1:15" ht="13.5" thickTop="1" x14ac:dyDescent="0.2">
      <c r="A26" s="517"/>
      <c r="B26" s="518"/>
      <c r="C26" s="519" t="s">
        <v>122</v>
      </c>
      <c r="D26" s="520" t="s">
        <v>122</v>
      </c>
      <c r="E26" s="520" t="s">
        <v>122</v>
      </c>
      <c r="H26" s="521" t="s">
        <v>542</v>
      </c>
      <c r="I26" s="522" t="s">
        <v>9</v>
      </c>
      <c r="J26" s="523" t="s">
        <v>1073</v>
      </c>
      <c r="K26" s="522" t="s">
        <v>682</v>
      </c>
      <c r="L26" s="524"/>
      <c r="M26" s="523"/>
      <c r="O26" s="101"/>
    </row>
    <row r="27" spans="1:15" ht="13.5" thickBot="1" x14ac:dyDescent="0.25">
      <c r="A27" s="525" t="s">
        <v>123</v>
      </c>
      <c r="B27" s="526"/>
      <c r="C27" s="527" t="s">
        <v>334</v>
      </c>
      <c r="D27" s="527" t="s">
        <v>718</v>
      </c>
      <c r="E27" s="528" t="s">
        <v>734</v>
      </c>
      <c r="H27" s="529" t="s">
        <v>899</v>
      </c>
      <c r="I27" s="529" t="s">
        <v>900</v>
      </c>
      <c r="J27" s="528" t="s">
        <v>1075</v>
      </c>
      <c r="K27" s="530" t="s">
        <v>1075</v>
      </c>
      <c r="L27" s="531" t="s">
        <v>1074</v>
      </c>
      <c r="M27" s="529"/>
      <c r="O27" s="96"/>
    </row>
    <row r="28" spans="1:15" ht="13.5" thickTop="1" x14ac:dyDescent="0.2">
      <c r="A28" s="532"/>
      <c r="B28" s="533"/>
      <c r="C28" s="534"/>
      <c r="D28" s="534"/>
      <c r="E28" s="534"/>
      <c r="H28" s="535"/>
      <c r="I28" s="536"/>
      <c r="J28" s="537"/>
      <c r="K28" s="536"/>
      <c r="L28" s="538"/>
      <c r="M28" s="539"/>
      <c r="O28" s="27"/>
    </row>
    <row r="29" spans="1:15" ht="13.5" thickBot="1" x14ac:dyDescent="0.25">
      <c r="A29" s="540">
        <v>5115</v>
      </c>
      <c r="B29" s="541" t="s">
        <v>374</v>
      </c>
      <c r="C29" s="542">
        <v>327</v>
      </c>
      <c r="D29" s="542">
        <v>340</v>
      </c>
      <c r="E29" s="542">
        <v>340</v>
      </c>
      <c r="H29" s="543">
        <f>+J9</f>
        <v>370</v>
      </c>
      <c r="I29" s="569">
        <f>+L9</f>
        <v>370</v>
      </c>
      <c r="J29" s="539">
        <f t="shared" ref="J29:J30" si="6">+I29-H29</f>
        <v>0</v>
      </c>
      <c r="K29" s="545" t="str">
        <f t="shared" ref="K29:K30" si="7">IF(H29+I29&lt;&gt;0,IF(H29&lt;&gt;0,IF(J29&lt;&gt;0,ROUND((+J29/H29),4),""),1),"")</f>
        <v/>
      </c>
      <c r="L29" s="538"/>
      <c r="M29" s="539"/>
      <c r="O29" s="27"/>
    </row>
    <row r="30" spans="1:15" x14ac:dyDescent="0.2">
      <c r="A30" s="540">
        <v>5279</v>
      </c>
      <c r="B30" s="541" t="s">
        <v>126</v>
      </c>
      <c r="C30" s="544"/>
      <c r="D30" s="544">
        <v>0</v>
      </c>
      <c r="E30" s="544"/>
      <c r="H30" s="543">
        <f>+J12</f>
        <v>0</v>
      </c>
      <c r="I30" s="569">
        <f>+L12</f>
        <v>0</v>
      </c>
      <c r="J30" s="539">
        <f t="shared" si="6"/>
        <v>0</v>
      </c>
      <c r="K30" s="545" t="str">
        <f t="shared" si="7"/>
        <v/>
      </c>
      <c r="L30" s="538"/>
      <c r="M30" s="539"/>
      <c r="O30" s="27"/>
    </row>
    <row r="31" spans="1:15" x14ac:dyDescent="0.2">
      <c r="A31" s="540">
        <v>5314</v>
      </c>
      <c r="B31" s="541" t="s">
        <v>1029</v>
      </c>
      <c r="C31" s="546"/>
      <c r="D31" s="546"/>
      <c r="E31" s="546"/>
      <c r="H31" s="543">
        <f t="shared" ref="H31:H38" si="8">+J13</f>
        <v>0</v>
      </c>
      <c r="I31" s="569">
        <f t="shared" ref="I31:I38" si="9">+L13</f>
        <v>0</v>
      </c>
      <c r="J31" s="539">
        <f t="shared" ref="J31:J38" si="10">+I31-H31</f>
        <v>0</v>
      </c>
      <c r="K31" s="545" t="str">
        <f t="shared" ref="K31:K38" si="11">IF(H31+I31&lt;&gt;0,IF(H31&lt;&gt;0,IF(J31&lt;&gt;0,ROUND((+J31/H31),4),""),1),"")</f>
        <v/>
      </c>
      <c r="L31" s="538"/>
      <c r="M31" s="539"/>
      <c r="O31" s="27"/>
    </row>
    <row r="32" spans="1:15" x14ac:dyDescent="0.2">
      <c r="A32" s="540">
        <v>5315</v>
      </c>
      <c r="B32" s="541" t="s">
        <v>981</v>
      </c>
      <c r="C32" s="546">
        <v>300</v>
      </c>
      <c r="D32" s="546">
        <v>105</v>
      </c>
      <c r="E32" s="546">
        <v>165</v>
      </c>
      <c r="H32" s="543">
        <f t="shared" si="8"/>
        <v>180</v>
      </c>
      <c r="I32" s="569">
        <f t="shared" si="9"/>
        <v>200</v>
      </c>
      <c r="J32" s="539">
        <f t="shared" si="10"/>
        <v>20</v>
      </c>
      <c r="K32" s="545">
        <f t="shared" si="11"/>
        <v>0.1111</v>
      </c>
      <c r="L32" s="538" t="s">
        <v>1577</v>
      </c>
      <c r="M32" s="539"/>
      <c r="O32" s="27"/>
    </row>
    <row r="33" spans="1:15" x14ac:dyDescent="0.2">
      <c r="A33" s="540">
        <v>5344</v>
      </c>
      <c r="B33" s="541" t="s">
        <v>137</v>
      </c>
      <c r="C33" s="544">
        <v>403.4</v>
      </c>
      <c r="D33" s="544">
        <v>452.78</v>
      </c>
      <c r="E33" s="544">
        <v>550.83000000000004</v>
      </c>
      <c r="H33" s="543">
        <f t="shared" si="8"/>
        <v>700</v>
      </c>
      <c r="I33" s="569">
        <f t="shared" si="9"/>
        <v>700</v>
      </c>
      <c r="J33" s="539">
        <f t="shared" si="10"/>
        <v>0</v>
      </c>
      <c r="K33" s="545" t="str">
        <f t="shared" si="11"/>
        <v/>
      </c>
      <c r="L33" s="538"/>
      <c r="M33" s="539"/>
      <c r="O33" s="27"/>
    </row>
    <row r="34" spans="1:15" x14ac:dyDescent="0.2">
      <c r="A34" s="540">
        <v>5420</v>
      </c>
      <c r="B34" s="541" t="s">
        <v>1131</v>
      </c>
      <c r="C34" s="544"/>
      <c r="D34" s="544"/>
      <c r="E34" s="544"/>
      <c r="H34" s="543">
        <f t="shared" si="8"/>
        <v>150</v>
      </c>
      <c r="I34" s="569">
        <f t="shared" si="9"/>
        <v>150</v>
      </c>
      <c r="J34" s="539">
        <f t="shared" si="10"/>
        <v>0</v>
      </c>
      <c r="K34" s="545" t="str">
        <f t="shared" si="11"/>
        <v/>
      </c>
      <c r="L34" s="538"/>
      <c r="M34" s="539"/>
      <c r="O34" s="27"/>
    </row>
    <row r="35" spans="1:15" x14ac:dyDescent="0.2">
      <c r="A35" s="540">
        <v>5586</v>
      </c>
      <c r="B35" s="541" t="s">
        <v>1210</v>
      </c>
      <c r="C35" s="544"/>
      <c r="D35" s="544"/>
      <c r="E35" s="544"/>
      <c r="H35" s="543">
        <f t="shared" si="8"/>
        <v>650</v>
      </c>
      <c r="I35" s="569">
        <f t="shared" si="9"/>
        <v>650</v>
      </c>
      <c r="J35" s="539">
        <f t="shared" si="10"/>
        <v>0</v>
      </c>
      <c r="K35" s="545" t="str">
        <f t="shared" si="11"/>
        <v/>
      </c>
      <c r="L35" s="538"/>
      <c r="M35" s="539"/>
      <c r="O35" s="27"/>
    </row>
    <row r="36" spans="1:15" x14ac:dyDescent="0.2">
      <c r="A36" s="540">
        <v>5490</v>
      </c>
      <c r="B36" s="541" t="s">
        <v>797</v>
      </c>
      <c r="C36" s="544">
        <v>511.33</v>
      </c>
      <c r="D36" s="544">
        <v>505.6</v>
      </c>
      <c r="E36" s="544">
        <v>538.77</v>
      </c>
      <c r="H36" s="543">
        <f t="shared" si="8"/>
        <v>0</v>
      </c>
      <c r="I36" s="569">
        <f t="shared" si="9"/>
        <v>0</v>
      </c>
      <c r="J36" s="539">
        <f t="shared" si="10"/>
        <v>0</v>
      </c>
      <c r="K36" s="545" t="str">
        <f t="shared" si="11"/>
        <v/>
      </c>
      <c r="L36" s="538"/>
      <c r="M36" s="539"/>
      <c r="O36" s="27"/>
    </row>
    <row r="37" spans="1:15" x14ac:dyDescent="0.2">
      <c r="A37" s="540">
        <v>5710</v>
      </c>
      <c r="B37" s="541" t="s">
        <v>128</v>
      </c>
      <c r="C37" s="536"/>
      <c r="D37" s="536">
        <v>0</v>
      </c>
      <c r="E37" s="536"/>
      <c r="H37" s="543">
        <f t="shared" si="8"/>
        <v>0</v>
      </c>
      <c r="I37" s="569">
        <f t="shared" si="9"/>
        <v>0</v>
      </c>
      <c r="J37" s="539">
        <f t="shared" si="10"/>
        <v>0</v>
      </c>
      <c r="K37" s="545" t="str">
        <f t="shared" si="11"/>
        <v/>
      </c>
      <c r="L37" s="538"/>
      <c r="M37" s="539"/>
      <c r="O37" s="29"/>
    </row>
    <row r="38" spans="1:15" ht="13.5" thickBot="1" x14ac:dyDescent="0.25">
      <c r="A38" s="540">
        <v>5730</v>
      </c>
      <c r="B38" s="541" t="s">
        <v>129</v>
      </c>
      <c r="C38" s="542">
        <v>20</v>
      </c>
      <c r="D38" s="542">
        <v>20</v>
      </c>
      <c r="E38" s="542">
        <v>20</v>
      </c>
      <c r="H38" s="543">
        <f t="shared" si="8"/>
        <v>20</v>
      </c>
      <c r="I38" s="569">
        <f t="shared" si="9"/>
        <v>20</v>
      </c>
      <c r="J38" s="539">
        <f t="shared" si="10"/>
        <v>0</v>
      </c>
      <c r="K38" s="545" t="str">
        <f t="shared" si="11"/>
        <v/>
      </c>
      <c r="L38" s="538"/>
      <c r="M38" s="539"/>
      <c r="O38" s="29"/>
    </row>
    <row r="39" spans="1:15" x14ac:dyDescent="0.2">
      <c r="A39" s="4"/>
      <c r="B39" s="4"/>
      <c r="C39" s="25"/>
      <c r="D39" s="25"/>
      <c r="E39" s="25"/>
      <c r="F39" s="25"/>
      <c r="G39" s="25"/>
      <c r="H39" s="25"/>
      <c r="I39" s="25"/>
      <c r="J39" s="25"/>
      <c r="K39" s="29"/>
      <c r="L39" s="25"/>
      <c r="M39" s="29"/>
      <c r="O39" s="29"/>
    </row>
    <row r="40" spans="1:15" x14ac:dyDescent="0.2">
      <c r="A40" s="4"/>
      <c r="B40" s="4" t="s">
        <v>1600</v>
      </c>
      <c r="C40" s="25"/>
      <c r="D40" s="25"/>
      <c r="E40" s="25"/>
      <c r="F40" s="25"/>
      <c r="G40" s="25"/>
      <c r="H40" s="849">
        <f>SUM(H29:H39)</f>
        <v>2070</v>
      </c>
      <c r="I40" s="849">
        <f>SUM(I29:I39)</f>
        <v>2090</v>
      </c>
      <c r="J40" s="208">
        <f t="shared" ref="J40" si="12">+I40-H40</f>
        <v>20</v>
      </c>
      <c r="K40" s="850">
        <f t="shared" ref="K40" si="13">IF(H40+I40&lt;&gt;0,IF(H40&lt;&gt;0,IF(J40&lt;&gt;0,ROUND((+J40/H40),4),""),1),"")</f>
        <v>9.7000000000000003E-3</v>
      </c>
      <c r="L40" s="25"/>
      <c r="M40" s="29"/>
      <c r="O40" s="29"/>
    </row>
    <row r="41" spans="1:15" x14ac:dyDescent="0.2">
      <c r="A41" s="4"/>
      <c r="B41" s="4"/>
      <c r="C41" s="25"/>
      <c r="D41" s="25"/>
      <c r="E41" s="25"/>
      <c r="F41" s="25"/>
      <c r="G41" s="25"/>
      <c r="H41" s="849"/>
      <c r="I41" s="25"/>
      <c r="J41" s="25"/>
      <c r="K41" s="29"/>
      <c r="L41" s="25"/>
      <c r="M41" s="29"/>
      <c r="O41" s="29"/>
    </row>
    <row r="42" spans="1:15" x14ac:dyDescent="0.2">
      <c r="A42" s="4"/>
      <c r="B42" s="4"/>
      <c r="C42" s="25"/>
      <c r="D42" s="25"/>
      <c r="E42" s="25"/>
      <c r="F42" s="25"/>
      <c r="G42" s="25"/>
      <c r="H42" s="25"/>
      <c r="I42" s="25"/>
      <c r="J42" s="25"/>
      <c r="K42" s="29"/>
      <c r="L42" s="25"/>
      <c r="M42" s="29"/>
      <c r="O42" s="29"/>
    </row>
    <row r="43" spans="1:15" x14ac:dyDescent="0.2">
      <c r="A43" s="4"/>
      <c r="B43" s="4"/>
      <c r="C43" s="25"/>
      <c r="D43" s="25"/>
      <c r="E43" s="25"/>
      <c r="F43" s="25"/>
      <c r="G43" s="25"/>
      <c r="H43" s="25"/>
      <c r="I43" s="25"/>
      <c r="J43" s="25"/>
      <c r="K43" s="29"/>
      <c r="L43" s="25"/>
      <c r="M43" s="29"/>
      <c r="O43" s="29"/>
    </row>
    <row r="44" spans="1:15" x14ac:dyDescent="0.2">
      <c r="A44" s="4"/>
      <c r="B44" s="4"/>
      <c r="C44" s="25"/>
      <c r="D44" s="25"/>
      <c r="E44" s="25"/>
      <c r="F44" s="25"/>
      <c r="G44" s="25"/>
      <c r="H44" s="25"/>
      <c r="I44" s="25"/>
      <c r="J44" s="25"/>
      <c r="K44" s="29"/>
      <c r="L44" s="25"/>
      <c r="M44" s="29"/>
      <c r="O44" s="29"/>
    </row>
    <row r="45" spans="1:15" x14ac:dyDescent="0.2">
      <c r="A45" s="4"/>
      <c r="B45" s="4"/>
      <c r="C45" s="25"/>
      <c r="D45" s="25"/>
      <c r="E45" s="25"/>
      <c r="F45" s="25"/>
      <c r="G45" s="25"/>
      <c r="H45" s="25"/>
      <c r="I45" s="25"/>
      <c r="J45" s="25"/>
      <c r="K45" s="29"/>
      <c r="L45" s="25"/>
      <c r="M45" s="29"/>
      <c r="O45" s="29"/>
    </row>
    <row r="46" spans="1:15" x14ac:dyDescent="0.2">
      <c r="A46" s="4"/>
      <c r="B46" s="4"/>
      <c r="C46" s="25"/>
      <c r="D46" s="25"/>
      <c r="E46" s="25"/>
      <c r="F46" s="25"/>
      <c r="G46" s="25"/>
      <c r="H46" s="25"/>
      <c r="I46" s="25"/>
      <c r="J46" s="25"/>
      <c r="K46" s="29"/>
      <c r="L46" s="25"/>
      <c r="M46" s="29"/>
      <c r="O46" s="29"/>
    </row>
    <row r="47" spans="1:15" x14ac:dyDescent="0.2">
      <c r="A47" s="4"/>
      <c r="B47" s="4"/>
      <c r="C47" s="25"/>
      <c r="D47" s="25"/>
      <c r="E47" s="25"/>
      <c r="F47" s="25"/>
      <c r="G47" s="25"/>
      <c r="H47" s="25"/>
      <c r="I47" s="25"/>
      <c r="J47" s="25"/>
      <c r="K47" s="29"/>
      <c r="L47" s="25"/>
      <c r="M47" s="29"/>
      <c r="O47" s="29"/>
    </row>
    <row r="48" spans="1:15" x14ac:dyDescent="0.2">
      <c r="A48" s="4"/>
      <c r="B48" s="4"/>
      <c r="C48" s="25"/>
      <c r="D48" s="25"/>
      <c r="E48" s="25"/>
      <c r="F48" s="25"/>
      <c r="G48" s="25"/>
      <c r="H48" s="25"/>
      <c r="I48" s="25"/>
      <c r="J48" s="25"/>
      <c r="K48" s="29"/>
      <c r="L48" s="25"/>
      <c r="M48" s="29"/>
      <c r="O48" s="29"/>
    </row>
    <row r="49" spans="1:15" x14ac:dyDescent="0.2">
      <c r="A49" s="4"/>
      <c r="B49" s="4"/>
      <c r="C49" s="25"/>
      <c r="D49" s="25"/>
      <c r="E49" s="25"/>
      <c r="F49" s="25"/>
      <c r="G49" s="25"/>
      <c r="H49" s="25"/>
      <c r="I49" s="25"/>
      <c r="J49" s="25"/>
      <c r="K49" s="29"/>
      <c r="L49" s="25"/>
      <c r="M49" s="29"/>
      <c r="O49" s="29"/>
    </row>
    <row r="50" spans="1:15" x14ac:dyDescent="0.2">
      <c r="A50" s="4"/>
      <c r="B50" s="4"/>
      <c r="C50" s="25"/>
      <c r="D50" s="25"/>
      <c r="E50" s="25"/>
      <c r="F50" s="25"/>
      <c r="G50" s="25"/>
      <c r="H50" s="25"/>
      <c r="I50" s="25"/>
      <c r="J50" s="25"/>
      <c r="K50" s="29"/>
      <c r="L50" s="25"/>
      <c r="M50" s="29"/>
      <c r="O50" s="29"/>
    </row>
    <row r="51" spans="1:15" x14ac:dyDescent="0.2">
      <c r="A51" s="4"/>
      <c r="B51" s="4"/>
      <c r="C51" s="25"/>
      <c r="D51" s="25"/>
      <c r="E51" s="25"/>
      <c r="F51" s="25"/>
      <c r="G51" s="25"/>
      <c r="H51" s="25"/>
      <c r="I51" s="25"/>
      <c r="J51" s="25"/>
      <c r="K51" s="29"/>
      <c r="L51" s="25"/>
      <c r="M51" s="29"/>
      <c r="O51" s="29"/>
    </row>
    <row r="52" spans="1:15" x14ac:dyDescent="0.2">
      <c r="A52" s="4"/>
      <c r="B52" s="4"/>
      <c r="C52" s="25"/>
      <c r="D52" s="25"/>
      <c r="E52" s="25"/>
      <c r="F52" s="25"/>
      <c r="G52" s="25"/>
      <c r="H52" s="25"/>
      <c r="I52" s="25"/>
      <c r="J52" s="25"/>
      <c r="K52" s="29"/>
      <c r="L52" s="25"/>
      <c r="M52" s="29"/>
      <c r="O52" s="29"/>
    </row>
    <row r="53" spans="1:15" x14ac:dyDescent="0.2">
      <c r="A53" s="4"/>
      <c r="B53" s="4"/>
      <c r="C53" s="25"/>
      <c r="D53" s="25"/>
      <c r="E53" s="25"/>
      <c r="F53" s="25"/>
      <c r="G53" s="25"/>
      <c r="H53" s="25"/>
      <c r="I53" s="25"/>
      <c r="J53" s="25"/>
      <c r="K53" s="29"/>
      <c r="L53" s="25"/>
      <c r="M53" s="29"/>
      <c r="O53" s="29"/>
    </row>
    <row r="54" spans="1:15" x14ac:dyDescent="0.2">
      <c r="A54" s="4"/>
      <c r="B54" s="4"/>
      <c r="C54" s="25"/>
      <c r="D54" s="25"/>
      <c r="E54" s="25"/>
      <c r="F54" s="25"/>
      <c r="G54" s="25"/>
      <c r="H54" s="25"/>
      <c r="I54" s="25"/>
      <c r="J54" s="25"/>
      <c r="K54" s="29"/>
      <c r="L54" s="25"/>
      <c r="M54" s="29"/>
      <c r="O54" s="29"/>
    </row>
    <row r="55" spans="1:15" x14ac:dyDescent="0.2">
      <c r="A55" s="4"/>
      <c r="B55" s="4"/>
      <c r="C55" s="25"/>
      <c r="D55" s="25"/>
      <c r="E55" s="25"/>
      <c r="F55" s="25"/>
      <c r="G55" s="25"/>
      <c r="H55" s="25"/>
      <c r="I55" s="25"/>
      <c r="J55" s="25"/>
      <c r="K55" s="29"/>
      <c r="L55" s="25"/>
      <c r="M55" s="29"/>
      <c r="O55" s="29"/>
    </row>
    <row r="56" spans="1:15" x14ac:dyDescent="0.2">
      <c r="A56" s="4"/>
      <c r="B56" s="4"/>
      <c r="C56" s="25"/>
      <c r="D56" s="25"/>
      <c r="E56" s="25"/>
      <c r="F56" s="25"/>
      <c r="G56" s="25"/>
      <c r="H56" s="25"/>
      <c r="I56" s="25"/>
      <c r="J56" s="25"/>
      <c r="K56" s="29"/>
      <c r="L56" s="25"/>
      <c r="M56" s="29"/>
      <c r="O56" s="29"/>
    </row>
    <row r="57" spans="1:15" x14ac:dyDescent="0.2">
      <c r="A57" s="4"/>
      <c r="B57" s="4"/>
      <c r="C57" s="25"/>
      <c r="D57" s="25"/>
      <c r="E57" s="25"/>
      <c r="F57" s="25"/>
      <c r="G57" s="25"/>
      <c r="H57" s="25"/>
      <c r="I57" s="25"/>
      <c r="J57" s="25"/>
      <c r="K57" s="29"/>
      <c r="L57" s="25"/>
      <c r="M57" s="29"/>
      <c r="O57" s="29"/>
    </row>
    <row r="58" spans="1:15" x14ac:dyDescent="0.2">
      <c r="A58" s="4"/>
      <c r="B58" s="4"/>
      <c r="C58" s="25"/>
      <c r="D58" s="25"/>
      <c r="E58" s="25"/>
      <c r="F58" s="25"/>
      <c r="G58" s="25"/>
      <c r="H58" s="25"/>
      <c r="I58" s="25"/>
      <c r="J58" s="25"/>
      <c r="K58" s="29"/>
      <c r="L58" s="25"/>
      <c r="M58" s="29"/>
      <c r="O58" s="29"/>
    </row>
    <row r="59" spans="1:15" x14ac:dyDescent="0.2">
      <c r="A59" s="4"/>
      <c r="B59" s="4"/>
      <c r="C59" s="25"/>
      <c r="D59" s="25"/>
      <c r="E59" s="25"/>
      <c r="F59" s="25"/>
      <c r="G59" s="25"/>
      <c r="H59" s="25"/>
      <c r="I59" s="25"/>
      <c r="J59" s="25"/>
      <c r="K59" s="29"/>
      <c r="L59" s="25"/>
      <c r="M59" s="29"/>
      <c r="O59" s="29"/>
    </row>
    <row r="60" spans="1:15" x14ac:dyDescent="0.2">
      <c r="A60" s="4"/>
      <c r="B60" s="4"/>
      <c r="C60" s="25"/>
      <c r="D60" s="25"/>
      <c r="E60" s="25"/>
      <c r="F60" s="25"/>
      <c r="G60" s="25"/>
      <c r="H60" s="25"/>
      <c r="I60" s="25"/>
      <c r="J60" s="25"/>
      <c r="K60" s="29"/>
      <c r="L60" s="25"/>
      <c r="M60" s="29"/>
      <c r="O60" s="29"/>
    </row>
    <row r="61" spans="1:15" x14ac:dyDescent="0.2">
      <c r="A61" s="4"/>
      <c r="B61" s="4"/>
      <c r="C61" s="25"/>
      <c r="D61" s="25"/>
      <c r="E61" s="25"/>
      <c r="F61" s="25"/>
      <c r="G61" s="25"/>
      <c r="H61" s="25"/>
      <c r="I61" s="25"/>
      <c r="J61" s="25"/>
      <c r="K61" s="29"/>
      <c r="L61" s="25"/>
      <c r="M61" s="29"/>
      <c r="O61" s="29"/>
    </row>
    <row r="62" spans="1:15" x14ac:dyDescent="0.2">
      <c r="A62" s="4"/>
      <c r="B62" s="4"/>
      <c r="C62" s="25"/>
      <c r="D62" s="25"/>
      <c r="E62" s="25"/>
      <c r="F62" s="25"/>
      <c r="G62" s="25"/>
      <c r="H62" s="25"/>
      <c r="I62" s="25"/>
      <c r="J62" s="25"/>
      <c r="K62" s="29"/>
      <c r="L62" s="25"/>
      <c r="M62" s="29"/>
      <c r="O62" s="29"/>
    </row>
    <row r="63" spans="1:15" x14ac:dyDescent="0.2">
      <c r="A63" s="4"/>
      <c r="B63" s="4"/>
      <c r="C63" s="25"/>
      <c r="D63" s="25"/>
      <c r="E63" s="25"/>
      <c r="F63" s="25"/>
      <c r="G63" s="25"/>
      <c r="H63" s="25"/>
      <c r="I63" s="25"/>
      <c r="J63" s="25"/>
      <c r="K63" s="29"/>
      <c r="L63" s="25"/>
      <c r="M63" s="29"/>
      <c r="O63" s="29"/>
    </row>
    <row r="64" spans="1:15" x14ac:dyDescent="0.2">
      <c r="A64" s="4"/>
      <c r="B64" s="4"/>
      <c r="C64" s="25"/>
      <c r="D64" s="25"/>
      <c r="E64" s="25"/>
      <c r="F64" s="25"/>
      <c r="G64" s="25"/>
      <c r="H64" s="25"/>
      <c r="I64" s="25"/>
      <c r="J64" s="25"/>
      <c r="K64" s="29"/>
      <c r="L64" s="25"/>
      <c r="M64" s="29"/>
      <c r="O64" s="29"/>
    </row>
    <row r="65" spans="1:15" x14ac:dyDescent="0.2">
      <c r="A65" s="4"/>
      <c r="B65" s="4"/>
      <c r="C65" s="25"/>
      <c r="D65" s="25"/>
      <c r="E65" s="25"/>
      <c r="F65" s="25"/>
      <c r="G65" s="25"/>
      <c r="H65" s="25"/>
      <c r="I65" s="25"/>
      <c r="J65" s="25"/>
      <c r="K65" s="29"/>
      <c r="L65" s="25"/>
      <c r="M65" s="29"/>
      <c r="O65" s="29"/>
    </row>
    <row r="66" spans="1:15" x14ac:dyDescent="0.2">
      <c r="A66" s="4"/>
      <c r="B66" s="4"/>
      <c r="C66" s="25"/>
      <c r="D66" s="25"/>
      <c r="E66" s="25"/>
      <c r="F66" s="25"/>
      <c r="G66" s="25"/>
      <c r="H66" s="25"/>
      <c r="I66" s="25"/>
      <c r="J66" s="25"/>
      <c r="K66" s="29"/>
      <c r="L66" s="25"/>
      <c r="M66" s="29"/>
      <c r="O66" s="29"/>
    </row>
    <row r="67" spans="1:15" x14ac:dyDescent="0.2">
      <c r="A67" s="4"/>
      <c r="B67" s="4"/>
      <c r="C67" s="25"/>
      <c r="D67" s="25"/>
      <c r="E67" s="25"/>
      <c r="F67" s="25"/>
      <c r="G67" s="25"/>
      <c r="H67" s="25"/>
      <c r="I67" s="25"/>
      <c r="J67" s="25"/>
      <c r="K67" s="29"/>
      <c r="L67" s="25"/>
      <c r="M67" s="29"/>
      <c r="O67" s="29"/>
    </row>
    <row r="68" spans="1:15" x14ac:dyDescent="0.2">
      <c r="A68" s="4"/>
      <c r="B68" s="4"/>
      <c r="C68" s="25"/>
      <c r="D68" s="25"/>
      <c r="E68" s="25"/>
      <c r="F68" s="25"/>
      <c r="G68" s="25"/>
      <c r="H68" s="25"/>
      <c r="I68" s="25"/>
      <c r="J68" s="25"/>
      <c r="K68" s="29"/>
      <c r="L68" s="25"/>
      <c r="M68" s="29"/>
      <c r="O68" s="29"/>
    </row>
    <row r="69" spans="1:15" x14ac:dyDescent="0.2">
      <c r="A69" s="4"/>
      <c r="B69" s="4"/>
      <c r="C69" s="25"/>
      <c r="D69" s="25"/>
      <c r="E69" s="25"/>
      <c r="F69" s="25"/>
      <c r="G69" s="25"/>
      <c r="H69" s="25"/>
      <c r="I69" s="25"/>
      <c r="J69" s="25"/>
      <c r="K69" s="29"/>
      <c r="L69" s="25"/>
      <c r="M69" s="29"/>
      <c r="O69" s="29"/>
    </row>
    <row r="70" spans="1:15" x14ac:dyDescent="0.2">
      <c r="A70" s="4"/>
      <c r="B70" s="4"/>
      <c r="C70" s="25"/>
      <c r="D70" s="25"/>
      <c r="E70" s="25"/>
      <c r="F70" s="25"/>
      <c r="G70" s="25"/>
      <c r="H70" s="25"/>
      <c r="I70" s="25"/>
      <c r="J70" s="25"/>
      <c r="K70" s="29"/>
      <c r="L70" s="25"/>
      <c r="M70" s="29"/>
      <c r="O70" s="29"/>
    </row>
    <row r="71" spans="1:15" x14ac:dyDescent="0.2">
      <c r="A71" s="4"/>
      <c r="B71" s="4"/>
      <c r="C71" s="25"/>
      <c r="D71" s="25"/>
      <c r="E71" s="25"/>
      <c r="F71" s="25"/>
      <c r="G71" s="25"/>
      <c r="H71" s="25"/>
      <c r="I71" s="25"/>
      <c r="J71" s="25"/>
      <c r="K71" s="29"/>
      <c r="L71" s="25"/>
      <c r="M71" s="29"/>
      <c r="O71" s="29"/>
    </row>
    <row r="72" spans="1:15" x14ac:dyDescent="0.2">
      <c r="A72" s="4"/>
      <c r="B72" s="4"/>
      <c r="C72" s="25"/>
      <c r="D72" s="25"/>
      <c r="E72" s="25"/>
      <c r="F72" s="25"/>
      <c r="G72" s="25"/>
      <c r="H72" s="25"/>
      <c r="I72" s="25"/>
      <c r="J72" s="25"/>
      <c r="K72" s="4"/>
      <c r="L72" s="25"/>
      <c r="M72" s="4"/>
      <c r="O72" s="4"/>
    </row>
    <row r="73" spans="1:15" x14ac:dyDescent="0.2">
      <c r="A73" s="4"/>
      <c r="B73" s="4"/>
      <c r="C73" s="25"/>
      <c r="D73" s="25"/>
      <c r="E73" s="25"/>
      <c r="F73" s="25"/>
      <c r="G73" s="25"/>
      <c r="H73" s="25"/>
      <c r="I73" s="25"/>
      <c r="J73" s="25"/>
      <c r="K73" s="4"/>
      <c r="L73" s="25"/>
      <c r="M73" s="4"/>
      <c r="O73" s="4"/>
    </row>
    <row r="74" spans="1:15" x14ac:dyDescent="0.2">
      <c r="A74" s="4"/>
      <c r="B74" s="4"/>
      <c r="C74" s="25"/>
      <c r="D74" s="25"/>
      <c r="E74" s="25"/>
      <c r="F74" s="25"/>
      <c r="G74" s="25"/>
      <c r="H74" s="25"/>
      <c r="I74" s="25"/>
      <c r="J74" s="25"/>
      <c r="K74" s="4"/>
      <c r="L74" s="25"/>
      <c r="M74" s="4"/>
      <c r="O74" s="4"/>
    </row>
    <row r="75" spans="1:15" x14ac:dyDescent="0.2">
      <c r="A75" s="4"/>
      <c r="B75" s="4"/>
      <c r="C75" s="25"/>
      <c r="D75" s="25"/>
      <c r="E75" s="25"/>
      <c r="F75" s="25"/>
      <c r="G75" s="25"/>
      <c r="H75" s="25"/>
      <c r="I75" s="25"/>
      <c r="J75" s="25"/>
      <c r="K75" s="4"/>
      <c r="L75" s="25"/>
      <c r="M75" s="4"/>
      <c r="O75" s="4"/>
    </row>
    <row r="76" spans="1:15" x14ac:dyDescent="0.2">
      <c r="A76" s="4"/>
      <c r="B76" s="4"/>
      <c r="C76" s="25"/>
      <c r="D76" s="25"/>
      <c r="E76" s="25"/>
      <c r="F76" s="25"/>
      <c r="G76" s="25"/>
      <c r="H76" s="25"/>
      <c r="I76" s="25"/>
      <c r="J76" s="25"/>
      <c r="K76" s="4"/>
      <c r="L76" s="25"/>
      <c r="M76" s="4"/>
      <c r="O76" s="4"/>
    </row>
    <row r="77" spans="1:15" x14ac:dyDescent="0.2">
      <c r="A77" s="4"/>
      <c r="B77" s="4"/>
      <c r="C77" s="25"/>
      <c r="D77" s="25"/>
      <c r="E77" s="25"/>
      <c r="F77" s="25"/>
      <c r="G77" s="25"/>
      <c r="H77" s="25"/>
      <c r="I77" s="25"/>
      <c r="J77" s="25"/>
      <c r="K77" s="4"/>
      <c r="L77" s="25"/>
      <c r="M77" s="4"/>
      <c r="O77" s="4"/>
    </row>
    <row r="78" spans="1:15" x14ac:dyDescent="0.2">
      <c r="A78" s="4"/>
      <c r="B78" s="4"/>
      <c r="C78" s="25"/>
      <c r="D78" s="25"/>
      <c r="E78" s="25"/>
      <c r="F78" s="25"/>
      <c r="G78" s="25"/>
      <c r="H78" s="25"/>
      <c r="I78" s="25"/>
      <c r="J78" s="25"/>
      <c r="K78" s="4"/>
      <c r="L78" s="25"/>
      <c r="M78" s="4"/>
      <c r="O78" s="4"/>
    </row>
    <row r="79" spans="1:15" x14ac:dyDescent="0.2">
      <c r="A79" s="4"/>
      <c r="B79" s="4"/>
      <c r="C79" s="25"/>
      <c r="D79" s="25"/>
      <c r="E79" s="25"/>
      <c r="F79" s="25"/>
      <c r="G79" s="25"/>
      <c r="H79" s="25"/>
      <c r="I79" s="25"/>
      <c r="J79" s="25"/>
      <c r="K79" s="4"/>
      <c r="L79" s="25"/>
      <c r="M79" s="4"/>
      <c r="O79" s="4"/>
    </row>
    <row r="80" spans="1:15" x14ac:dyDescent="0.2">
      <c r="A80" s="4"/>
      <c r="B80" s="4"/>
      <c r="C80" s="25"/>
      <c r="D80" s="25"/>
      <c r="E80" s="25"/>
      <c r="F80" s="25"/>
      <c r="G80" s="25"/>
      <c r="H80" s="25"/>
      <c r="I80" s="25"/>
      <c r="J80" s="25"/>
      <c r="K80" s="4"/>
      <c r="L80" s="25"/>
      <c r="M80" s="4"/>
      <c r="O80" s="4"/>
    </row>
    <row r="81" spans="1:15" x14ac:dyDescent="0.2">
      <c r="A81" s="4"/>
      <c r="B81" s="4"/>
      <c r="C81" s="25"/>
      <c r="D81" s="25"/>
      <c r="E81" s="25"/>
      <c r="F81" s="25"/>
      <c r="G81" s="25"/>
      <c r="H81" s="25"/>
      <c r="I81" s="25"/>
      <c r="J81" s="25"/>
      <c r="K81" s="4"/>
      <c r="L81" s="25"/>
      <c r="M81" s="4"/>
      <c r="O81" s="4"/>
    </row>
    <row r="82" spans="1:15" x14ac:dyDescent="0.2">
      <c r="A82" s="4"/>
      <c r="B82" s="4"/>
      <c r="C82" s="25"/>
      <c r="D82" s="25"/>
      <c r="E82" s="25"/>
      <c r="F82" s="25"/>
      <c r="G82" s="25"/>
      <c r="H82" s="25"/>
      <c r="I82" s="25"/>
      <c r="J82" s="25"/>
      <c r="K82" s="4"/>
      <c r="L82" s="25"/>
      <c r="M82" s="4"/>
      <c r="O82" s="4"/>
    </row>
    <row r="83" spans="1:15" x14ac:dyDescent="0.2">
      <c r="A83" s="4"/>
      <c r="B83" s="4"/>
      <c r="C83" s="25"/>
      <c r="D83" s="25"/>
      <c r="E83" s="25"/>
      <c r="F83" s="25"/>
      <c r="G83" s="25"/>
      <c r="H83" s="25"/>
      <c r="I83" s="25"/>
      <c r="J83" s="25"/>
      <c r="K83" s="4"/>
      <c r="L83" s="25"/>
      <c r="M83" s="4"/>
      <c r="O83" s="4"/>
    </row>
    <row r="84" spans="1:15" x14ac:dyDescent="0.2">
      <c r="A84" s="4"/>
      <c r="B84" s="4"/>
      <c r="C84" s="25"/>
      <c r="D84" s="25"/>
      <c r="E84" s="25"/>
      <c r="F84" s="25"/>
      <c r="G84" s="25"/>
      <c r="H84" s="25"/>
      <c r="I84" s="25"/>
      <c r="J84" s="25"/>
      <c r="K84" s="4"/>
      <c r="L84" s="25"/>
      <c r="M84" s="4"/>
      <c r="O84" s="4"/>
    </row>
    <row r="85" spans="1:15" x14ac:dyDescent="0.2">
      <c r="A85" s="4"/>
      <c r="B85" s="4"/>
      <c r="C85" s="25"/>
      <c r="D85" s="25"/>
      <c r="E85" s="25"/>
      <c r="F85" s="25"/>
      <c r="G85" s="25"/>
      <c r="H85" s="25"/>
      <c r="I85" s="25"/>
      <c r="J85" s="25"/>
      <c r="K85" s="4"/>
      <c r="L85" s="25"/>
      <c r="M85" s="4"/>
      <c r="O85" s="4"/>
    </row>
    <row r="86" spans="1:15" x14ac:dyDescent="0.2">
      <c r="A86" s="4"/>
      <c r="B86" s="4"/>
      <c r="C86" s="25"/>
      <c r="D86" s="25"/>
      <c r="E86" s="25"/>
      <c r="F86" s="25"/>
      <c r="G86" s="25"/>
      <c r="H86" s="25"/>
      <c r="I86" s="25"/>
      <c r="J86" s="25"/>
      <c r="K86" s="4"/>
      <c r="L86" s="25"/>
      <c r="M86" s="4"/>
      <c r="O86" s="4"/>
    </row>
    <row r="87" spans="1:15" x14ac:dyDescent="0.2">
      <c r="A87" s="4"/>
      <c r="B87" s="4"/>
      <c r="C87" s="25"/>
      <c r="D87" s="25"/>
      <c r="E87" s="25"/>
      <c r="F87" s="25"/>
      <c r="G87" s="25"/>
      <c r="H87" s="25"/>
      <c r="I87" s="25"/>
      <c r="J87" s="25"/>
      <c r="K87" s="4"/>
      <c r="L87" s="25"/>
      <c r="M87" s="4"/>
      <c r="O87" s="4"/>
    </row>
    <row r="88" spans="1:15" x14ac:dyDescent="0.2">
      <c r="A88" s="4"/>
      <c r="B88" s="4"/>
      <c r="C88" s="25"/>
      <c r="D88" s="25"/>
      <c r="E88" s="25"/>
      <c r="F88" s="25"/>
      <c r="G88" s="25"/>
      <c r="H88" s="25"/>
      <c r="I88" s="25"/>
      <c r="J88" s="25"/>
      <c r="K88" s="4"/>
      <c r="L88" s="25"/>
      <c r="M88" s="4"/>
      <c r="O88" s="4"/>
    </row>
    <row r="89" spans="1:15" x14ac:dyDescent="0.2">
      <c r="A89" s="4"/>
      <c r="B89" s="4"/>
      <c r="C89" s="25"/>
      <c r="D89" s="25"/>
      <c r="E89" s="25"/>
      <c r="F89" s="25"/>
      <c r="G89" s="25"/>
      <c r="H89" s="25"/>
      <c r="I89" s="25"/>
      <c r="J89" s="25"/>
      <c r="K89" s="4"/>
      <c r="L89" s="25"/>
      <c r="M89" s="4"/>
      <c r="O89" s="4"/>
    </row>
    <row r="90" spans="1:15" x14ac:dyDescent="0.2">
      <c r="A90" s="4"/>
      <c r="B90" s="4"/>
      <c r="C90" s="25"/>
      <c r="D90" s="25"/>
      <c r="E90" s="25"/>
      <c r="F90" s="25"/>
      <c r="G90" s="25"/>
      <c r="H90" s="25"/>
      <c r="I90" s="25"/>
      <c r="J90" s="25"/>
      <c r="K90" s="4"/>
      <c r="L90" s="25"/>
      <c r="M90" s="4"/>
      <c r="O90" s="4"/>
    </row>
    <row r="91" spans="1:15" x14ac:dyDescent="0.2">
      <c r="A91" s="4"/>
      <c r="B91" s="4"/>
      <c r="C91" s="25"/>
      <c r="D91" s="25"/>
      <c r="E91" s="25"/>
      <c r="F91" s="25"/>
      <c r="G91" s="25"/>
      <c r="H91" s="25"/>
      <c r="I91" s="25"/>
      <c r="J91" s="25"/>
      <c r="K91" s="4"/>
      <c r="L91" s="25"/>
      <c r="M91" s="4"/>
      <c r="O91" s="4"/>
    </row>
    <row r="92" spans="1:15" x14ac:dyDescent="0.2">
      <c r="A92" s="4"/>
      <c r="B92" s="4"/>
      <c r="C92" s="25"/>
      <c r="D92" s="25"/>
      <c r="E92" s="25"/>
      <c r="F92" s="25"/>
      <c r="G92" s="25"/>
      <c r="H92" s="25"/>
      <c r="I92" s="25"/>
      <c r="J92" s="25"/>
      <c r="K92" s="4"/>
      <c r="L92" s="25"/>
      <c r="M92" s="4"/>
      <c r="O92" s="4"/>
    </row>
    <row r="93" spans="1:15" x14ac:dyDescent="0.2">
      <c r="A93" s="4"/>
      <c r="B93" s="4"/>
      <c r="C93" s="25"/>
      <c r="D93" s="25"/>
      <c r="E93" s="25"/>
      <c r="F93" s="25"/>
      <c r="G93" s="25"/>
      <c r="H93" s="25"/>
      <c r="I93" s="25"/>
      <c r="J93" s="25"/>
      <c r="K93" s="4"/>
      <c r="L93" s="25"/>
      <c r="M93" s="4"/>
      <c r="O93" s="4"/>
    </row>
    <row r="94" spans="1:15" x14ac:dyDescent="0.2">
      <c r="A94" s="4"/>
      <c r="B94" s="4"/>
      <c r="C94" s="25"/>
      <c r="D94" s="25"/>
      <c r="E94" s="25"/>
      <c r="F94" s="25"/>
      <c r="G94" s="25"/>
      <c r="H94" s="25"/>
      <c r="I94" s="25"/>
      <c r="J94" s="25"/>
      <c r="K94" s="4"/>
      <c r="L94" s="25"/>
      <c r="M94" s="4"/>
      <c r="O94" s="4"/>
    </row>
    <row r="95" spans="1:15" x14ac:dyDescent="0.2">
      <c r="A95" s="4"/>
      <c r="B95" s="4"/>
      <c r="C95" s="25"/>
      <c r="D95" s="25"/>
      <c r="E95" s="25"/>
      <c r="F95" s="25"/>
      <c r="G95" s="25"/>
      <c r="H95" s="25"/>
      <c r="I95" s="25"/>
      <c r="J95" s="25"/>
      <c r="K95" s="4"/>
      <c r="L95" s="25"/>
      <c r="M95" s="4"/>
      <c r="O95" s="4"/>
    </row>
    <row r="96" spans="1:15" x14ac:dyDescent="0.2">
      <c r="A96" s="4"/>
      <c r="B96" s="4"/>
      <c r="C96" s="25"/>
      <c r="D96" s="25"/>
      <c r="E96" s="25"/>
      <c r="F96" s="25"/>
      <c r="G96" s="25"/>
      <c r="H96" s="25"/>
      <c r="I96" s="25"/>
      <c r="J96" s="25"/>
      <c r="K96" s="4"/>
      <c r="L96" s="25"/>
      <c r="M96" s="4"/>
      <c r="O96" s="4"/>
    </row>
    <row r="97" spans="1:15" x14ac:dyDescent="0.2">
      <c r="A97" s="4"/>
      <c r="B97" s="4"/>
      <c r="C97" s="25"/>
      <c r="D97" s="25"/>
      <c r="E97" s="25"/>
      <c r="F97" s="25"/>
      <c r="G97" s="25"/>
      <c r="H97" s="25"/>
      <c r="I97" s="25"/>
      <c r="J97" s="25"/>
      <c r="K97" s="4"/>
      <c r="L97" s="25"/>
      <c r="M97" s="4"/>
      <c r="O97" s="4"/>
    </row>
    <row r="98" spans="1:15" x14ac:dyDescent="0.2">
      <c r="A98" s="4"/>
      <c r="B98" s="4"/>
      <c r="C98" s="25"/>
      <c r="D98" s="25"/>
      <c r="E98" s="25"/>
      <c r="F98" s="25"/>
      <c r="G98" s="25"/>
      <c r="H98" s="25"/>
      <c r="I98" s="25"/>
      <c r="J98" s="25"/>
      <c r="K98" s="4"/>
      <c r="L98" s="25"/>
      <c r="M98" s="4"/>
      <c r="O98" s="4"/>
    </row>
    <row r="99" spans="1:15" x14ac:dyDescent="0.2">
      <c r="A99" s="4"/>
      <c r="B99" s="4"/>
      <c r="C99" s="25"/>
      <c r="D99" s="25"/>
      <c r="E99" s="25"/>
      <c r="F99" s="25"/>
      <c r="G99" s="25"/>
      <c r="H99" s="25"/>
      <c r="I99" s="25"/>
      <c r="J99" s="25"/>
      <c r="K99" s="4"/>
      <c r="L99" s="25"/>
      <c r="M99" s="4"/>
      <c r="O99" s="4"/>
    </row>
    <row r="100" spans="1:15" x14ac:dyDescent="0.2">
      <c r="A100" s="4"/>
      <c r="B100" s="4"/>
      <c r="C100" s="25"/>
      <c r="D100" s="25"/>
      <c r="E100" s="25"/>
      <c r="F100" s="25"/>
      <c r="G100" s="25"/>
      <c r="H100" s="25"/>
      <c r="I100" s="25"/>
      <c r="J100" s="25"/>
      <c r="K100" s="4"/>
      <c r="L100" s="25"/>
      <c r="M100" s="4"/>
      <c r="O100" s="4"/>
    </row>
    <row r="101" spans="1:15" x14ac:dyDescent="0.2">
      <c r="A101" s="4"/>
      <c r="B101" s="4"/>
      <c r="C101" s="25"/>
      <c r="D101" s="25"/>
      <c r="E101" s="25"/>
      <c r="F101" s="25"/>
      <c r="G101" s="25"/>
      <c r="H101" s="25"/>
      <c r="I101" s="25"/>
      <c r="J101" s="25"/>
      <c r="K101" s="4"/>
      <c r="L101" s="25"/>
      <c r="M101" s="4"/>
      <c r="O101" s="4"/>
    </row>
    <row r="102" spans="1:15" x14ac:dyDescent="0.2">
      <c r="A102" s="4"/>
      <c r="B102" s="4"/>
      <c r="C102" s="25"/>
      <c r="D102" s="25"/>
      <c r="E102" s="25"/>
      <c r="F102" s="25"/>
      <c r="G102" s="25"/>
      <c r="H102" s="25"/>
      <c r="I102" s="25"/>
      <c r="J102" s="25"/>
      <c r="K102" s="4"/>
      <c r="L102" s="25"/>
      <c r="M102" s="4"/>
      <c r="O102" s="4"/>
    </row>
    <row r="103" spans="1:15" x14ac:dyDescent="0.2">
      <c r="A103" s="4"/>
      <c r="B103" s="4"/>
      <c r="C103" s="25"/>
      <c r="D103" s="25"/>
      <c r="E103" s="25"/>
      <c r="F103" s="25"/>
      <c r="G103" s="25"/>
      <c r="H103" s="25"/>
      <c r="I103" s="25"/>
      <c r="J103" s="25"/>
      <c r="K103" s="4"/>
      <c r="L103" s="25"/>
      <c r="M103" s="4"/>
      <c r="O103" s="4"/>
    </row>
    <row r="104" spans="1:15" x14ac:dyDescent="0.2">
      <c r="A104" s="4"/>
      <c r="B104" s="4"/>
      <c r="C104" s="25"/>
      <c r="D104" s="25"/>
      <c r="E104" s="25"/>
      <c r="F104" s="25"/>
      <c r="G104" s="25"/>
      <c r="H104" s="25"/>
      <c r="I104" s="25"/>
      <c r="J104" s="25"/>
      <c r="K104" s="4"/>
      <c r="L104" s="25"/>
      <c r="M104" s="4"/>
      <c r="O104" s="4"/>
    </row>
    <row r="105" spans="1:15" x14ac:dyDescent="0.2">
      <c r="A105" s="4"/>
      <c r="B105" s="4"/>
      <c r="C105" s="25"/>
      <c r="D105" s="25"/>
      <c r="E105" s="25"/>
      <c r="F105" s="25"/>
      <c r="G105" s="25"/>
      <c r="H105" s="25"/>
      <c r="I105" s="25"/>
      <c r="J105" s="25"/>
      <c r="K105" s="4"/>
      <c r="L105" s="25"/>
      <c r="M105" s="4"/>
      <c r="O105" s="4"/>
    </row>
    <row r="106" spans="1:15" x14ac:dyDescent="0.2">
      <c r="A106" s="4"/>
      <c r="B106" s="4"/>
      <c r="C106" s="25"/>
      <c r="D106" s="25"/>
      <c r="E106" s="25"/>
      <c r="F106" s="25"/>
      <c r="G106" s="25"/>
      <c r="H106" s="25"/>
      <c r="I106" s="25"/>
      <c r="J106" s="25"/>
      <c r="K106" s="4"/>
      <c r="L106" s="25"/>
      <c r="M106" s="4"/>
      <c r="O106" s="4"/>
    </row>
    <row r="107" spans="1:15" x14ac:dyDescent="0.2">
      <c r="A107" s="4"/>
      <c r="B107" s="4"/>
      <c r="C107" s="25"/>
      <c r="D107" s="25"/>
      <c r="E107" s="25"/>
      <c r="F107" s="25"/>
      <c r="G107" s="25"/>
      <c r="H107" s="25"/>
      <c r="I107" s="25"/>
      <c r="J107" s="25"/>
      <c r="K107" s="4"/>
      <c r="L107" s="25"/>
      <c r="M107" s="4"/>
      <c r="O107" s="4"/>
    </row>
    <row r="108" spans="1:15" x14ac:dyDescent="0.2">
      <c r="A108" s="4"/>
      <c r="B108" s="4"/>
      <c r="C108" s="25"/>
      <c r="D108" s="25"/>
      <c r="E108" s="25"/>
      <c r="F108" s="25"/>
      <c r="G108" s="25"/>
      <c r="H108" s="25"/>
      <c r="I108" s="25"/>
      <c r="J108" s="25"/>
      <c r="K108" s="4"/>
      <c r="L108" s="25"/>
      <c r="M108" s="4"/>
      <c r="O108" s="4"/>
    </row>
    <row r="109" spans="1:15" x14ac:dyDescent="0.2">
      <c r="A109" s="4"/>
      <c r="B109" s="4"/>
      <c r="C109" s="25"/>
      <c r="D109" s="25"/>
      <c r="E109" s="25"/>
      <c r="F109" s="25"/>
      <c r="G109" s="25"/>
      <c r="H109" s="25"/>
      <c r="I109" s="25"/>
      <c r="J109" s="25"/>
      <c r="K109" s="4"/>
      <c r="L109" s="25"/>
      <c r="M109" s="4"/>
      <c r="O109" s="4"/>
    </row>
    <row r="110" spans="1:15" x14ac:dyDescent="0.2">
      <c r="A110" s="4"/>
      <c r="B110" s="4"/>
      <c r="C110" s="25"/>
      <c r="D110" s="25"/>
      <c r="E110" s="25"/>
      <c r="F110" s="25"/>
      <c r="G110" s="25"/>
      <c r="H110" s="25"/>
      <c r="I110" s="25"/>
      <c r="J110" s="25"/>
      <c r="K110" s="4"/>
      <c r="L110" s="25"/>
      <c r="M110" s="4"/>
      <c r="O110" s="4"/>
    </row>
    <row r="111" spans="1:15" x14ac:dyDescent="0.2">
      <c r="A111" s="4"/>
      <c r="B111" s="4"/>
      <c r="C111" s="25"/>
      <c r="D111" s="25"/>
      <c r="E111" s="25"/>
      <c r="F111" s="25"/>
      <c r="G111" s="25"/>
      <c r="H111" s="25"/>
      <c r="I111" s="25"/>
      <c r="J111" s="25"/>
      <c r="K111" s="4"/>
      <c r="L111" s="25"/>
      <c r="M111" s="4"/>
      <c r="O111" s="4"/>
    </row>
    <row r="112" spans="1:15" x14ac:dyDescent="0.2">
      <c r="A112" s="4"/>
      <c r="B112" s="4"/>
      <c r="C112" s="25"/>
      <c r="D112" s="25"/>
      <c r="E112" s="25"/>
      <c r="F112" s="25"/>
      <c r="G112" s="25"/>
      <c r="H112" s="25"/>
      <c r="I112" s="25"/>
      <c r="J112" s="25"/>
      <c r="K112" s="4"/>
      <c r="L112" s="25"/>
      <c r="M112" s="4"/>
      <c r="O112" s="4"/>
    </row>
    <row r="113" spans="1:15" x14ac:dyDescent="0.2">
      <c r="A113" s="4"/>
      <c r="B113" s="4"/>
      <c r="C113" s="25"/>
      <c r="D113" s="25"/>
      <c r="E113" s="25"/>
      <c r="F113" s="25"/>
      <c r="G113" s="25"/>
      <c r="H113" s="25"/>
      <c r="I113" s="25"/>
      <c r="J113" s="25"/>
      <c r="K113" s="4"/>
      <c r="L113" s="25"/>
      <c r="M113" s="4"/>
      <c r="O113" s="4"/>
    </row>
    <row r="114" spans="1:15" x14ac:dyDescent="0.2">
      <c r="A114" s="4"/>
      <c r="B114" s="4"/>
      <c r="C114" s="25"/>
      <c r="D114" s="25"/>
      <c r="E114" s="25"/>
      <c r="F114" s="25"/>
      <c r="G114" s="25"/>
      <c r="H114" s="25"/>
      <c r="I114" s="25"/>
      <c r="J114" s="25"/>
      <c r="K114" s="4"/>
      <c r="L114" s="25"/>
      <c r="M114" s="4"/>
      <c r="O114" s="4"/>
    </row>
    <row r="115" spans="1:15" x14ac:dyDescent="0.2">
      <c r="A115" s="4"/>
      <c r="B115" s="4"/>
      <c r="C115" s="25"/>
      <c r="D115" s="25"/>
      <c r="E115" s="25"/>
      <c r="F115" s="25"/>
      <c r="G115" s="25"/>
      <c r="H115" s="25"/>
      <c r="I115" s="25"/>
      <c r="J115" s="25"/>
      <c r="K115" s="4"/>
      <c r="L115" s="25"/>
      <c r="M115" s="4"/>
      <c r="O115" s="4"/>
    </row>
    <row r="116" spans="1:15" x14ac:dyDescent="0.2">
      <c r="A116" s="4"/>
      <c r="B116" s="4"/>
      <c r="C116" s="25"/>
      <c r="D116" s="25"/>
      <c r="E116" s="25"/>
      <c r="F116" s="25"/>
      <c r="G116" s="25"/>
      <c r="H116" s="25"/>
      <c r="I116" s="25"/>
      <c r="J116" s="25"/>
      <c r="K116" s="4"/>
      <c r="L116" s="25"/>
      <c r="M116" s="4"/>
      <c r="O116" s="4"/>
    </row>
    <row r="117" spans="1:15" x14ac:dyDescent="0.2">
      <c r="A117" s="4"/>
      <c r="B117" s="4"/>
      <c r="C117" s="25"/>
      <c r="D117" s="25"/>
      <c r="E117" s="25"/>
      <c r="F117" s="25"/>
      <c r="G117" s="25"/>
      <c r="H117" s="25"/>
      <c r="I117" s="25"/>
      <c r="J117" s="25"/>
      <c r="K117" s="4"/>
      <c r="L117" s="25"/>
      <c r="M117" s="4"/>
      <c r="O117" s="4"/>
    </row>
    <row r="118" spans="1:15" x14ac:dyDescent="0.2">
      <c r="A118" s="4"/>
      <c r="B118" s="4"/>
      <c r="C118" s="25"/>
      <c r="D118" s="25"/>
      <c r="E118" s="25"/>
      <c r="F118" s="25"/>
      <c r="G118" s="25"/>
      <c r="H118" s="25"/>
      <c r="I118" s="25"/>
      <c r="J118" s="25"/>
      <c r="K118" s="4"/>
      <c r="L118" s="25"/>
      <c r="M118" s="4"/>
      <c r="O118" s="4"/>
    </row>
    <row r="119" spans="1:15" x14ac:dyDescent="0.2">
      <c r="A119" s="4"/>
      <c r="B119" s="4"/>
      <c r="C119" s="25"/>
      <c r="D119" s="25"/>
      <c r="E119" s="25"/>
      <c r="F119" s="25"/>
      <c r="G119" s="25"/>
      <c r="H119" s="25"/>
      <c r="I119" s="25"/>
      <c r="J119" s="25"/>
      <c r="K119" s="4"/>
      <c r="L119" s="25"/>
      <c r="M119" s="4"/>
      <c r="O119" s="4"/>
    </row>
    <row r="120" spans="1:15" x14ac:dyDescent="0.2">
      <c r="A120" s="4"/>
      <c r="B120" s="4"/>
      <c r="C120" s="25"/>
      <c r="D120" s="25"/>
      <c r="E120" s="25"/>
      <c r="F120" s="25"/>
      <c r="G120" s="25"/>
      <c r="H120" s="25"/>
      <c r="I120" s="25"/>
      <c r="J120" s="25"/>
      <c r="K120" s="4"/>
      <c r="L120" s="25"/>
      <c r="M120" s="4"/>
      <c r="O120" s="4"/>
    </row>
    <row r="121" spans="1:15" x14ac:dyDescent="0.2">
      <c r="A121" s="4"/>
      <c r="B121" s="4"/>
      <c r="C121" s="25"/>
      <c r="D121" s="25"/>
      <c r="E121" s="25"/>
      <c r="F121" s="25"/>
      <c r="G121" s="25"/>
      <c r="H121" s="25"/>
      <c r="I121" s="25"/>
      <c r="J121" s="25"/>
      <c r="K121" s="4"/>
      <c r="L121" s="25"/>
      <c r="M121" s="4"/>
      <c r="O121" s="4"/>
    </row>
    <row r="122" spans="1:15" x14ac:dyDescent="0.2">
      <c r="A122" s="4"/>
      <c r="B122" s="4"/>
      <c r="C122" s="25"/>
      <c r="D122" s="25"/>
      <c r="E122" s="25"/>
      <c r="F122" s="25"/>
      <c r="G122" s="25"/>
      <c r="H122" s="25"/>
      <c r="I122" s="25"/>
      <c r="J122" s="25"/>
      <c r="K122" s="4"/>
      <c r="L122" s="25"/>
      <c r="M122" s="4"/>
      <c r="O122" s="4"/>
    </row>
    <row r="123" spans="1:15" x14ac:dyDescent="0.2">
      <c r="A123" s="4"/>
      <c r="B123" s="4"/>
      <c r="C123" s="25"/>
      <c r="D123" s="25"/>
      <c r="E123" s="25"/>
      <c r="F123" s="25"/>
      <c r="G123" s="25"/>
      <c r="H123" s="25"/>
      <c r="I123" s="25"/>
      <c r="J123" s="25"/>
      <c r="K123" s="4"/>
      <c r="L123" s="25"/>
      <c r="M123" s="4"/>
      <c r="O123" s="4"/>
    </row>
    <row r="124" spans="1:15" x14ac:dyDescent="0.2">
      <c r="A124" s="4"/>
      <c r="B124" s="4"/>
      <c r="C124" s="25"/>
      <c r="D124" s="25"/>
      <c r="E124" s="25"/>
      <c r="F124" s="25"/>
      <c r="G124" s="25"/>
      <c r="H124" s="25"/>
      <c r="I124" s="25"/>
      <c r="J124" s="25"/>
      <c r="K124" s="4"/>
      <c r="L124" s="25"/>
      <c r="M124" s="4"/>
      <c r="O124" s="4"/>
    </row>
    <row r="125" spans="1:15" x14ac:dyDescent="0.2">
      <c r="A125" s="4"/>
      <c r="B125" s="4"/>
      <c r="C125" s="25"/>
      <c r="D125" s="25"/>
      <c r="E125" s="25"/>
      <c r="F125" s="25"/>
      <c r="G125" s="25"/>
      <c r="H125" s="25"/>
      <c r="I125" s="25"/>
      <c r="J125" s="25"/>
      <c r="K125" s="4"/>
      <c r="L125" s="25"/>
      <c r="M125" s="4"/>
      <c r="O125" s="4"/>
    </row>
    <row r="126" spans="1:15" x14ac:dyDescent="0.2">
      <c r="A126" s="4"/>
      <c r="B126" s="4"/>
      <c r="C126" s="25"/>
      <c r="D126" s="25"/>
      <c r="E126" s="25"/>
      <c r="F126" s="25"/>
      <c r="G126" s="25"/>
      <c r="H126" s="25"/>
      <c r="I126" s="25"/>
      <c r="J126" s="25"/>
      <c r="K126" s="4"/>
      <c r="L126" s="25"/>
      <c r="M126" s="4"/>
      <c r="O126" s="4"/>
    </row>
    <row r="127" spans="1:15" x14ac:dyDescent="0.2">
      <c r="A127" s="4"/>
      <c r="B127" s="4"/>
      <c r="C127" s="25"/>
      <c r="D127" s="25"/>
      <c r="E127" s="25"/>
      <c r="F127" s="25"/>
      <c r="G127" s="25"/>
      <c r="H127" s="25"/>
      <c r="I127" s="25"/>
      <c r="J127" s="25"/>
      <c r="K127" s="4"/>
      <c r="L127" s="25"/>
      <c r="M127" s="4"/>
      <c r="O127" s="4"/>
    </row>
    <row r="128" spans="1:15" x14ac:dyDescent="0.2">
      <c r="A128" s="4"/>
      <c r="B128" s="4"/>
      <c r="C128" s="25"/>
      <c r="D128" s="25"/>
      <c r="E128" s="25"/>
      <c r="F128" s="25"/>
      <c r="G128" s="25"/>
      <c r="H128" s="25"/>
      <c r="I128" s="25"/>
      <c r="J128" s="25"/>
      <c r="K128" s="4"/>
      <c r="L128" s="25"/>
      <c r="M128" s="4"/>
      <c r="O128" s="4"/>
    </row>
    <row r="129" spans="1:15" x14ac:dyDescent="0.2">
      <c r="A129" s="4"/>
      <c r="B129" s="4"/>
      <c r="C129" s="25"/>
      <c r="D129" s="25"/>
      <c r="E129" s="25"/>
      <c r="F129" s="25"/>
      <c r="G129" s="25"/>
      <c r="H129" s="25"/>
      <c r="I129" s="25"/>
      <c r="J129" s="25"/>
      <c r="K129" s="4"/>
      <c r="L129" s="25"/>
      <c r="M129" s="4"/>
      <c r="O129" s="4"/>
    </row>
    <row r="130" spans="1:15" x14ac:dyDescent="0.2">
      <c r="A130" s="4"/>
      <c r="B130" s="4"/>
      <c r="C130" s="25"/>
      <c r="D130" s="25"/>
      <c r="E130" s="25"/>
      <c r="F130" s="25"/>
      <c r="G130" s="25"/>
      <c r="H130" s="25"/>
      <c r="I130" s="25"/>
      <c r="J130" s="25"/>
      <c r="K130" s="4"/>
      <c r="L130" s="25"/>
      <c r="M130" s="4"/>
      <c r="O130" s="4"/>
    </row>
    <row r="131" spans="1:15" x14ac:dyDescent="0.2">
      <c r="A131" s="4"/>
      <c r="B131" s="4"/>
      <c r="C131" s="25"/>
      <c r="D131" s="25"/>
      <c r="E131" s="25"/>
      <c r="F131" s="25"/>
      <c r="G131" s="25"/>
      <c r="H131" s="25"/>
      <c r="I131" s="25"/>
      <c r="J131" s="25"/>
      <c r="K131" s="4"/>
      <c r="L131" s="25"/>
      <c r="M131" s="4"/>
      <c r="O131" s="4"/>
    </row>
    <row r="132" spans="1:15" x14ac:dyDescent="0.2">
      <c r="A132" s="4"/>
      <c r="B132" s="4"/>
      <c r="C132" s="25"/>
      <c r="D132" s="25"/>
      <c r="E132" s="25"/>
      <c r="F132" s="25"/>
      <c r="G132" s="25"/>
      <c r="H132" s="25"/>
      <c r="I132" s="25"/>
      <c r="J132" s="25"/>
      <c r="K132" s="4"/>
      <c r="L132" s="25"/>
      <c r="M132" s="4"/>
      <c r="O132" s="4"/>
    </row>
    <row r="133" spans="1:15" x14ac:dyDescent="0.2">
      <c r="A133" s="4"/>
      <c r="B133" s="4"/>
      <c r="C133" s="25"/>
      <c r="D133" s="25"/>
      <c r="E133" s="25"/>
      <c r="F133" s="25"/>
      <c r="G133" s="25"/>
      <c r="H133" s="25"/>
      <c r="I133" s="25"/>
      <c r="J133" s="25"/>
      <c r="K133" s="4"/>
      <c r="L133" s="25"/>
      <c r="M133" s="4"/>
      <c r="O133" s="4"/>
    </row>
    <row r="134" spans="1:15" x14ac:dyDescent="0.2">
      <c r="A134" s="4"/>
      <c r="B134" s="4"/>
      <c r="C134" s="25"/>
      <c r="D134" s="25"/>
      <c r="E134" s="25"/>
      <c r="F134" s="25"/>
      <c r="G134" s="25"/>
      <c r="H134" s="25"/>
      <c r="I134" s="25"/>
      <c r="J134" s="25"/>
      <c r="K134" s="4"/>
      <c r="L134" s="25"/>
      <c r="M134" s="4"/>
      <c r="O134" s="4"/>
    </row>
    <row r="135" spans="1:15" x14ac:dyDescent="0.2">
      <c r="A135" s="4"/>
      <c r="B135" s="4"/>
      <c r="C135" s="25"/>
      <c r="D135" s="25"/>
      <c r="E135" s="25"/>
      <c r="F135" s="25"/>
      <c r="G135" s="25"/>
      <c r="H135" s="25"/>
      <c r="I135" s="25"/>
      <c r="J135" s="25"/>
      <c r="K135" s="4"/>
      <c r="L135" s="25"/>
      <c r="M135" s="4"/>
      <c r="O135" s="4"/>
    </row>
    <row r="136" spans="1:15" x14ac:dyDescent="0.2">
      <c r="A136" s="4"/>
      <c r="B136" s="4"/>
      <c r="C136" s="25"/>
      <c r="D136" s="25"/>
      <c r="E136" s="25"/>
      <c r="F136" s="25"/>
      <c r="G136" s="25"/>
      <c r="H136" s="25"/>
      <c r="I136" s="25"/>
      <c r="J136" s="25"/>
      <c r="K136" s="4"/>
      <c r="L136" s="25"/>
      <c r="M136" s="4"/>
      <c r="O136" s="4"/>
    </row>
    <row r="137" spans="1:15" x14ac:dyDescent="0.2">
      <c r="A137" s="4"/>
      <c r="B137" s="4"/>
      <c r="C137" s="25"/>
      <c r="D137" s="25"/>
      <c r="E137" s="25"/>
      <c r="F137" s="25"/>
      <c r="G137" s="25"/>
      <c r="H137" s="25"/>
      <c r="I137" s="25"/>
      <c r="J137" s="25"/>
      <c r="K137" s="4"/>
      <c r="L137" s="25"/>
      <c r="M137" s="4"/>
      <c r="O137" s="4"/>
    </row>
    <row r="138" spans="1:15" x14ac:dyDescent="0.2">
      <c r="A138" s="4"/>
      <c r="B138" s="4"/>
      <c r="C138" s="25"/>
      <c r="D138" s="25"/>
      <c r="E138" s="25"/>
      <c r="F138" s="25"/>
      <c r="G138" s="25"/>
      <c r="H138" s="25"/>
      <c r="I138" s="25"/>
      <c r="J138" s="25"/>
      <c r="K138" s="4"/>
      <c r="L138" s="25"/>
      <c r="M138" s="4"/>
      <c r="O138" s="4"/>
    </row>
    <row r="139" spans="1:15" x14ac:dyDescent="0.2">
      <c r="C139" s="121"/>
    </row>
    <row r="140" spans="1:15" x14ac:dyDescent="0.2">
      <c r="C140" s="121"/>
    </row>
    <row r="141" spans="1:15" x14ac:dyDescent="0.2">
      <c r="C141" s="121"/>
    </row>
    <row r="142" spans="1:15" x14ac:dyDescent="0.2">
      <c r="C142" s="121"/>
    </row>
    <row r="143" spans="1:15" x14ac:dyDescent="0.2">
      <c r="C143" s="121"/>
    </row>
    <row r="144" spans="1:15"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row r="178" spans="3:3" x14ac:dyDescent="0.2">
      <c r="C178" s="121"/>
    </row>
    <row r="179" spans="3:3" x14ac:dyDescent="0.2">
      <c r="C179" s="121"/>
    </row>
    <row r="180" spans="3:3" x14ac:dyDescent="0.2">
      <c r="C180" s="121"/>
    </row>
    <row r="181" spans="3:3" x14ac:dyDescent="0.2">
      <c r="C181" s="121"/>
    </row>
    <row r="182" spans="3:3" x14ac:dyDescent="0.2">
      <c r="C182" s="121"/>
    </row>
    <row r="183" spans="3:3" x14ac:dyDescent="0.2">
      <c r="C183" s="121"/>
    </row>
    <row r="184" spans="3:3" x14ac:dyDescent="0.2">
      <c r="C184" s="121"/>
    </row>
    <row r="185" spans="3:3" x14ac:dyDescent="0.2">
      <c r="C185" s="121"/>
    </row>
    <row r="186" spans="3:3" x14ac:dyDescent="0.2">
      <c r="C186" s="121"/>
    </row>
    <row r="187" spans="3:3" x14ac:dyDescent="0.2">
      <c r="C187" s="121"/>
    </row>
    <row r="188" spans="3:3" x14ac:dyDescent="0.2">
      <c r="C188" s="121"/>
    </row>
    <row r="189" spans="3:3" x14ac:dyDescent="0.2">
      <c r="C189" s="121"/>
    </row>
    <row r="190" spans="3:3" x14ac:dyDescent="0.2">
      <c r="C190" s="121"/>
    </row>
    <row r="191" spans="3:3" x14ac:dyDescent="0.2">
      <c r="C191" s="121"/>
    </row>
  </sheetData>
  <phoneticPr fontId="0" type="noConversion"/>
  <hyperlinks>
    <hyperlink ref="A1" location="'Working Budget with funding det'!A1" display="Main"/>
    <hyperlink ref="B1" location="'Table of Contents'!A1" display="TOC"/>
  </hyperlinks>
  <pageMargins left="0.75" right="0.75" top="1" bottom="1" header="0.5" footer="0.5"/>
  <pageSetup scale="94" orientation="landscape" verticalDpi="300" r:id="rId1"/>
  <headerFooter alignWithMargins="0">
    <oddFooter xml:space="preserve">&amp;L&amp;D     &amp;T&amp;C&amp;F&amp;R&amp;A   </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82"/>
  <sheetViews>
    <sheetView topLeftCell="U5" workbookViewId="0">
      <selection activeCell="AJ71" sqref="AJ71"/>
    </sheetView>
  </sheetViews>
  <sheetFormatPr defaultRowHeight="12.75" x14ac:dyDescent="0.2"/>
  <cols>
    <col min="1" max="1" width="9.33203125" customWidth="1"/>
    <col min="2" max="2" width="39.5" customWidth="1"/>
    <col min="3" max="3" width="12" hidden="1" customWidth="1"/>
    <col min="4" max="6" width="11.5" hidden="1" customWidth="1"/>
    <col min="7" max="21" width="11.5" customWidth="1"/>
    <col min="22" max="36" width="9.83203125" customWidth="1"/>
  </cols>
  <sheetData>
    <row r="1" spans="1:36" x14ac:dyDescent="0.2">
      <c r="A1" s="410" t="s">
        <v>1418</v>
      </c>
      <c r="C1" s="1"/>
      <c r="G1" s="2"/>
    </row>
    <row r="2" spans="1:36" ht="14.25" x14ac:dyDescent="0.2">
      <c r="A2" s="49" t="s">
        <v>260</v>
      </c>
      <c r="B2" s="49"/>
      <c r="C2" s="1"/>
      <c r="G2" s="2"/>
    </row>
    <row r="3" spans="1:36" ht="13.5" thickBot="1" x14ac:dyDescent="0.25"/>
    <row r="4" spans="1:36" ht="13.5" thickTop="1" x14ac:dyDescent="0.2">
      <c r="A4" s="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1:36" x14ac:dyDescent="0.2">
      <c r="A5" s="93"/>
      <c r="B5" s="90" t="s">
        <v>892</v>
      </c>
      <c r="C5" s="51" t="s">
        <v>881</v>
      </c>
      <c r="D5" s="51" t="s">
        <v>897</v>
      </c>
      <c r="E5" s="51" t="s">
        <v>898</v>
      </c>
      <c r="F5" s="51" t="s">
        <v>899</v>
      </c>
      <c r="G5" s="51" t="s">
        <v>900</v>
      </c>
      <c r="H5" s="51" t="s">
        <v>901</v>
      </c>
      <c r="I5" s="51" t="s">
        <v>902</v>
      </c>
      <c r="J5" s="51" t="s">
        <v>903</v>
      </c>
      <c r="K5" s="51" t="s">
        <v>904</v>
      </c>
      <c r="L5" s="51" t="s">
        <v>905</v>
      </c>
      <c r="M5" s="51" t="s">
        <v>906</v>
      </c>
      <c r="N5" s="51" t="s">
        <v>907</v>
      </c>
      <c r="O5" s="51" t="s">
        <v>908</v>
      </c>
      <c r="P5" s="51" t="s">
        <v>909</v>
      </c>
      <c r="Q5" s="51" t="s">
        <v>910</v>
      </c>
      <c r="R5" s="51" t="s">
        <v>911</v>
      </c>
      <c r="S5" s="51" t="s">
        <v>912</v>
      </c>
      <c r="T5" s="51" t="s">
        <v>913</v>
      </c>
      <c r="U5" s="51" t="s">
        <v>914</v>
      </c>
      <c r="V5" s="51" t="s">
        <v>915</v>
      </c>
      <c r="W5" s="51" t="s">
        <v>916</v>
      </c>
      <c r="X5" s="51" t="s">
        <v>917</v>
      </c>
      <c r="Y5" s="51" t="s">
        <v>918</v>
      </c>
      <c r="Z5" s="51" t="s">
        <v>919</v>
      </c>
      <c r="AA5" s="51" t="s">
        <v>920</v>
      </c>
      <c r="AB5" s="51" t="s">
        <v>921</v>
      </c>
      <c r="AC5" s="51" t="s">
        <v>922</v>
      </c>
      <c r="AD5" s="51" t="s">
        <v>923</v>
      </c>
      <c r="AE5" s="51" t="s">
        <v>924</v>
      </c>
      <c r="AF5" s="51" t="s">
        <v>925</v>
      </c>
      <c r="AG5" s="51" t="s">
        <v>926</v>
      </c>
      <c r="AH5" s="51" t="s">
        <v>927</v>
      </c>
      <c r="AI5" s="51" t="s">
        <v>928</v>
      </c>
      <c r="AJ5" s="51" t="s">
        <v>929</v>
      </c>
    </row>
    <row r="6" spans="1:36" x14ac:dyDescent="0.2">
      <c r="A6" s="93"/>
      <c r="B6" s="9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row>
    <row r="7" spans="1:36" ht="13.5" thickBot="1" x14ac:dyDescent="0.25">
      <c r="A7" s="8" t="s">
        <v>123</v>
      </c>
      <c r="B7" s="8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ht="13.5" thickTop="1" x14ac:dyDescent="0.2">
      <c r="A8" s="30"/>
      <c r="B8" s="31"/>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row>
    <row r="9" spans="1:36" x14ac:dyDescent="0.2">
      <c r="A9" s="12">
        <v>710</v>
      </c>
      <c r="B9" s="13" t="s">
        <v>223</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row>
    <row r="10" spans="1:36" x14ac:dyDescent="0.2">
      <c r="A10" s="12">
        <v>5930</v>
      </c>
      <c r="B10" s="117" t="s">
        <v>36</v>
      </c>
      <c r="C10" s="132">
        <f>ROUND((+C60*0.4),0)</f>
        <v>18865</v>
      </c>
      <c r="D10" s="132">
        <f t="shared" ref="D10:U10" si="0">ROUND((+D60*0.4),0)</f>
        <v>19246</v>
      </c>
      <c r="E10" s="132">
        <f t="shared" si="0"/>
        <v>19635</v>
      </c>
      <c r="F10" s="132">
        <f t="shared" si="0"/>
        <v>20032</v>
      </c>
      <c r="G10" s="132">
        <f t="shared" si="0"/>
        <v>20760</v>
      </c>
      <c r="H10" s="132">
        <f t="shared" si="0"/>
        <v>20849</v>
      </c>
      <c r="I10" s="132">
        <f t="shared" si="0"/>
        <v>21270</v>
      </c>
      <c r="J10" s="132">
        <f t="shared" si="0"/>
        <v>21700</v>
      </c>
      <c r="K10" s="132">
        <f t="shared" si="0"/>
        <v>22138</v>
      </c>
      <c r="L10" s="132">
        <f t="shared" si="0"/>
        <v>22586</v>
      </c>
      <c r="M10" s="132">
        <f t="shared" si="0"/>
        <v>23042</v>
      </c>
      <c r="N10" s="132">
        <f t="shared" si="0"/>
        <v>0</v>
      </c>
      <c r="O10" s="132">
        <f t="shared" si="0"/>
        <v>0</v>
      </c>
      <c r="P10" s="132">
        <f t="shared" si="0"/>
        <v>0</v>
      </c>
      <c r="Q10" s="132">
        <f t="shared" si="0"/>
        <v>0</v>
      </c>
      <c r="R10" s="132">
        <f t="shared" si="0"/>
        <v>0</v>
      </c>
      <c r="S10" s="132">
        <f t="shared" si="0"/>
        <v>0</v>
      </c>
      <c r="T10" s="132">
        <f t="shared" si="0"/>
        <v>0</v>
      </c>
      <c r="U10" s="132">
        <f t="shared" si="0"/>
        <v>0</v>
      </c>
      <c r="V10" s="132">
        <f t="shared" ref="V10:AC10" si="1">ROUND((+V60*0.4),0)</f>
        <v>0</v>
      </c>
      <c r="W10" s="132">
        <f t="shared" si="1"/>
        <v>0</v>
      </c>
      <c r="X10" s="132">
        <f t="shared" si="1"/>
        <v>0</v>
      </c>
      <c r="Y10" s="132">
        <f t="shared" si="1"/>
        <v>0</v>
      </c>
      <c r="Z10" s="132">
        <f t="shared" si="1"/>
        <v>0</v>
      </c>
      <c r="AA10" s="132">
        <f t="shared" si="1"/>
        <v>0</v>
      </c>
      <c r="AB10" s="132">
        <f t="shared" si="1"/>
        <v>0</v>
      </c>
      <c r="AC10" s="132">
        <f t="shared" si="1"/>
        <v>0</v>
      </c>
      <c r="AD10" s="132">
        <f t="shared" ref="AD10:AJ13" si="2">ROUND((+AD60*0.4),0)</f>
        <v>0</v>
      </c>
      <c r="AE10" s="132">
        <f t="shared" si="2"/>
        <v>0</v>
      </c>
      <c r="AF10" s="132">
        <f t="shared" si="2"/>
        <v>0</v>
      </c>
      <c r="AG10" s="132">
        <f t="shared" si="2"/>
        <v>0</v>
      </c>
      <c r="AH10" s="132">
        <f t="shared" si="2"/>
        <v>0</v>
      </c>
      <c r="AI10" s="132">
        <f t="shared" si="2"/>
        <v>0</v>
      </c>
      <c r="AJ10" s="132">
        <f t="shared" si="2"/>
        <v>0</v>
      </c>
    </row>
    <row r="11" spans="1:36" x14ac:dyDescent="0.2">
      <c r="A11" s="12">
        <v>5931</v>
      </c>
      <c r="B11" s="69" t="s">
        <v>37</v>
      </c>
      <c r="C11" s="132">
        <f>ROUND((+C61*0.4),0)</f>
        <v>21350</v>
      </c>
      <c r="D11" s="132">
        <f t="shared" ref="D11:U11" si="3">ROUND((+D61*0.4),0)</f>
        <v>21872</v>
      </c>
      <c r="E11" s="132">
        <f t="shared" si="3"/>
        <v>22406</v>
      </c>
      <c r="F11" s="132">
        <f t="shared" si="3"/>
        <v>22954</v>
      </c>
      <c r="G11" s="132">
        <f t="shared" si="3"/>
        <v>23514</v>
      </c>
      <c r="H11" s="132">
        <f t="shared" si="3"/>
        <v>24089</v>
      </c>
      <c r="I11" s="132">
        <f t="shared" si="3"/>
        <v>24678</v>
      </c>
      <c r="J11" s="132">
        <f t="shared" si="3"/>
        <v>25281</v>
      </c>
      <c r="K11" s="132">
        <f t="shared" si="3"/>
        <v>25898</v>
      </c>
      <c r="L11" s="132">
        <f t="shared" si="3"/>
        <v>26531</v>
      </c>
      <c r="M11" s="132">
        <f t="shared" si="3"/>
        <v>27180</v>
      </c>
      <c r="N11" s="132">
        <f t="shared" si="3"/>
        <v>27844</v>
      </c>
      <c r="O11" s="132">
        <f t="shared" si="3"/>
        <v>28524</v>
      </c>
      <c r="P11" s="132">
        <f t="shared" si="3"/>
        <v>29221</v>
      </c>
      <c r="Q11" s="132">
        <f t="shared" si="3"/>
        <v>29935</v>
      </c>
      <c r="R11" s="132">
        <f t="shared" si="3"/>
        <v>30667</v>
      </c>
      <c r="S11" s="132">
        <f t="shared" si="3"/>
        <v>31416</v>
      </c>
      <c r="T11" s="132">
        <f t="shared" si="3"/>
        <v>32184</v>
      </c>
      <c r="U11" s="132">
        <f t="shared" si="3"/>
        <v>32970</v>
      </c>
      <c r="V11" s="132">
        <f t="shared" ref="V11:AC11" si="4">ROUND((+V61*0.4),0)</f>
        <v>33776</v>
      </c>
      <c r="W11" s="132">
        <f t="shared" si="4"/>
        <v>34601</v>
      </c>
      <c r="X11" s="132">
        <f t="shared" si="4"/>
        <v>35446</v>
      </c>
      <c r="Y11" s="132">
        <f t="shared" si="4"/>
        <v>0</v>
      </c>
      <c r="Z11" s="132">
        <f t="shared" si="4"/>
        <v>0</v>
      </c>
      <c r="AA11" s="132">
        <f t="shared" si="4"/>
        <v>0</v>
      </c>
      <c r="AB11" s="132">
        <f t="shared" si="4"/>
        <v>0</v>
      </c>
      <c r="AC11" s="132">
        <f t="shared" si="4"/>
        <v>0</v>
      </c>
      <c r="AD11" s="132">
        <f t="shared" si="2"/>
        <v>0</v>
      </c>
      <c r="AE11" s="132">
        <f t="shared" si="2"/>
        <v>0</v>
      </c>
      <c r="AF11" s="132">
        <f t="shared" si="2"/>
        <v>0</v>
      </c>
      <c r="AG11" s="132">
        <f t="shared" si="2"/>
        <v>0</v>
      </c>
      <c r="AH11" s="132">
        <f t="shared" si="2"/>
        <v>0</v>
      </c>
      <c r="AI11" s="132">
        <f t="shared" si="2"/>
        <v>0</v>
      </c>
      <c r="AJ11" s="132">
        <f t="shared" si="2"/>
        <v>0</v>
      </c>
    </row>
    <row r="12" spans="1:36" s="467" customFormat="1" x14ac:dyDescent="0.2">
      <c r="A12" s="857">
        <v>5932</v>
      </c>
      <c r="B12" s="846" t="s">
        <v>38</v>
      </c>
      <c r="C12" s="840">
        <f>ROUND((+C62*0.4),0)</f>
        <v>6174</v>
      </c>
      <c r="D12" s="840">
        <f t="shared" ref="D12:U12" si="5">ROUND((+D62*0.4),0)</f>
        <v>6444</v>
      </c>
      <c r="E12" s="840">
        <f t="shared" si="5"/>
        <v>6726</v>
      </c>
      <c r="F12" s="840">
        <f t="shared" si="5"/>
        <v>7020</v>
      </c>
      <c r="G12" s="840">
        <f t="shared" si="5"/>
        <v>8000</v>
      </c>
      <c r="H12" s="840">
        <f t="shared" si="5"/>
        <v>8000</v>
      </c>
      <c r="I12" s="840">
        <f t="shared" si="5"/>
        <v>8000</v>
      </c>
      <c r="J12" s="840">
        <f t="shared" si="5"/>
        <v>10000</v>
      </c>
      <c r="K12" s="840">
        <f t="shared" si="5"/>
        <v>10000</v>
      </c>
      <c r="L12" s="840">
        <f t="shared" si="5"/>
        <v>10000</v>
      </c>
      <c r="M12" s="840">
        <f t="shared" si="5"/>
        <v>10000</v>
      </c>
      <c r="N12" s="840">
        <f t="shared" si="5"/>
        <v>12000</v>
      </c>
      <c r="O12" s="840">
        <f t="shared" si="5"/>
        <v>12000</v>
      </c>
      <c r="P12" s="840">
        <f t="shared" si="5"/>
        <v>12000</v>
      </c>
      <c r="Q12" s="840">
        <f t="shared" si="5"/>
        <v>14000</v>
      </c>
      <c r="R12" s="840">
        <f t="shared" si="5"/>
        <v>14000</v>
      </c>
      <c r="S12" s="840">
        <f t="shared" si="5"/>
        <v>14000</v>
      </c>
      <c r="T12" s="840">
        <f t="shared" si="5"/>
        <v>14000</v>
      </c>
      <c r="U12" s="840">
        <f t="shared" si="5"/>
        <v>14000</v>
      </c>
      <c r="V12" s="840">
        <f t="shared" ref="V12:AC12" si="6">ROUND((+V62*0.4),0)</f>
        <v>14000</v>
      </c>
      <c r="W12" s="840">
        <f t="shared" si="6"/>
        <v>14000</v>
      </c>
      <c r="X12" s="840">
        <f t="shared" si="6"/>
        <v>16000</v>
      </c>
      <c r="Y12" s="840">
        <f t="shared" si="6"/>
        <v>16000</v>
      </c>
      <c r="Z12" s="840">
        <f t="shared" si="6"/>
        <v>16000</v>
      </c>
      <c r="AA12" s="840">
        <f t="shared" si="6"/>
        <v>16000</v>
      </c>
      <c r="AB12" s="840">
        <f t="shared" si="6"/>
        <v>16000</v>
      </c>
      <c r="AC12" s="840">
        <f t="shared" si="6"/>
        <v>18000</v>
      </c>
      <c r="AD12" s="840">
        <f t="shared" si="2"/>
        <v>18000</v>
      </c>
      <c r="AE12" s="840">
        <f t="shared" si="2"/>
        <v>18000</v>
      </c>
      <c r="AF12" s="840">
        <f t="shared" si="2"/>
        <v>0</v>
      </c>
      <c r="AG12" s="840">
        <f t="shared" si="2"/>
        <v>0</v>
      </c>
      <c r="AH12" s="840">
        <f t="shared" si="2"/>
        <v>0</v>
      </c>
      <c r="AI12" s="840">
        <f t="shared" si="2"/>
        <v>0</v>
      </c>
      <c r="AJ12" s="840">
        <f t="shared" si="2"/>
        <v>0</v>
      </c>
    </row>
    <row r="13" spans="1:36" ht="13.5" thickBot="1" x14ac:dyDescent="0.25">
      <c r="A13" s="12">
        <v>5933</v>
      </c>
      <c r="B13" s="69" t="s">
        <v>341</v>
      </c>
      <c r="C13" s="133">
        <f>ROUND((+C63*0.4),0)</f>
        <v>5658</v>
      </c>
      <c r="D13" s="133">
        <f t="shared" ref="D13:U13" si="7">ROUND((+D63*0.4),0)</f>
        <v>5891</v>
      </c>
      <c r="E13" s="133">
        <f t="shared" si="7"/>
        <v>6134</v>
      </c>
      <c r="F13" s="133">
        <f t="shared" si="7"/>
        <v>6387</v>
      </c>
      <c r="G13" s="133">
        <f t="shared" si="7"/>
        <v>6651</v>
      </c>
      <c r="H13" s="133">
        <f t="shared" si="7"/>
        <v>6925</v>
      </c>
      <c r="I13" s="133">
        <f t="shared" si="7"/>
        <v>7211</v>
      </c>
      <c r="J13" s="133">
        <f t="shared" si="7"/>
        <v>7508</v>
      </c>
      <c r="K13" s="133">
        <f t="shared" si="7"/>
        <v>7818</v>
      </c>
      <c r="L13" s="133">
        <f t="shared" si="7"/>
        <v>8140</v>
      </c>
      <c r="M13" s="133">
        <f t="shared" si="7"/>
        <v>8476</v>
      </c>
      <c r="N13" s="133">
        <f t="shared" si="7"/>
        <v>8826</v>
      </c>
      <c r="O13" s="133">
        <f t="shared" si="7"/>
        <v>9190</v>
      </c>
      <c r="P13" s="133">
        <f t="shared" si="7"/>
        <v>9569</v>
      </c>
      <c r="Q13" s="133">
        <f t="shared" si="7"/>
        <v>9964</v>
      </c>
      <c r="R13" s="133">
        <f t="shared" si="7"/>
        <v>10374</v>
      </c>
      <c r="S13" s="133">
        <f t="shared" si="7"/>
        <v>10802</v>
      </c>
      <c r="T13" s="133">
        <f t="shared" si="7"/>
        <v>11248</v>
      </c>
      <c r="U13" s="133">
        <f t="shared" si="7"/>
        <v>11712</v>
      </c>
      <c r="V13" s="133">
        <f t="shared" ref="V13:AC13" si="8">ROUND((+V63*0.4),0)</f>
        <v>12195</v>
      </c>
      <c r="W13" s="133">
        <f t="shared" si="8"/>
        <v>12698</v>
      </c>
      <c r="X13" s="133">
        <f t="shared" si="8"/>
        <v>13222</v>
      </c>
      <c r="Y13" s="133">
        <f t="shared" si="8"/>
        <v>13767</v>
      </c>
      <c r="Z13" s="133">
        <f t="shared" si="8"/>
        <v>14335</v>
      </c>
      <c r="AA13" s="133">
        <f t="shared" si="8"/>
        <v>14927</v>
      </c>
      <c r="AB13" s="133">
        <f t="shared" si="8"/>
        <v>15542</v>
      </c>
      <c r="AC13" s="133">
        <f t="shared" si="8"/>
        <v>16184</v>
      </c>
      <c r="AD13" s="133">
        <f t="shared" si="2"/>
        <v>16851</v>
      </c>
      <c r="AE13" s="133">
        <f t="shared" si="2"/>
        <v>17546</v>
      </c>
      <c r="AF13" s="133">
        <f t="shared" si="2"/>
        <v>18270</v>
      </c>
      <c r="AG13" s="133">
        <f t="shared" si="2"/>
        <v>19024</v>
      </c>
      <c r="AH13" s="133">
        <f t="shared" si="2"/>
        <v>19685</v>
      </c>
      <c r="AI13" s="133">
        <f t="shared" si="2"/>
        <v>0</v>
      </c>
      <c r="AJ13" s="133">
        <f t="shared" si="2"/>
        <v>0</v>
      </c>
    </row>
    <row r="14" spans="1:36" x14ac:dyDescent="0.2">
      <c r="A14" s="12"/>
      <c r="B14" s="18" t="s">
        <v>223</v>
      </c>
      <c r="C14" s="20">
        <f>SUM(C9:C13)</f>
        <v>52047</v>
      </c>
      <c r="D14" s="20">
        <f t="shared" ref="D14:U14" si="9">SUM(D9:D13)</f>
        <v>53453</v>
      </c>
      <c r="E14" s="20">
        <f t="shared" si="9"/>
        <v>54901</v>
      </c>
      <c r="F14" s="20">
        <f t="shared" si="9"/>
        <v>56393</v>
      </c>
      <c r="G14" s="20">
        <f t="shared" si="9"/>
        <v>58925</v>
      </c>
      <c r="H14" s="20">
        <f t="shared" si="9"/>
        <v>59863</v>
      </c>
      <c r="I14" s="20">
        <f t="shared" si="9"/>
        <v>61159</v>
      </c>
      <c r="J14" s="20">
        <f t="shared" si="9"/>
        <v>64489</v>
      </c>
      <c r="K14" s="20">
        <f t="shared" si="9"/>
        <v>65854</v>
      </c>
      <c r="L14" s="20">
        <f t="shared" si="9"/>
        <v>67257</v>
      </c>
      <c r="M14" s="20">
        <f t="shared" si="9"/>
        <v>68698</v>
      </c>
      <c r="N14" s="20">
        <f t="shared" si="9"/>
        <v>48670</v>
      </c>
      <c r="O14" s="20">
        <f t="shared" si="9"/>
        <v>49714</v>
      </c>
      <c r="P14" s="20">
        <f t="shared" si="9"/>
        <v>50790</v>
      </c>
      <c r="Q14" s="20">
        <f t="shared" si="9"/>
        <v>53899</v>
      </c>
      <c r="R14" s="20">
        <f t="shared" si="9"/>
        <v>55041</v>
      </c>
      <c r="S14" s="20">
        <f t="shared" si="9"/>
        <v>56218</v>
      </c>
      <c r="T14" s="20">
        <f t="shared" si="9"/>
        <v>57432</v>
      </c>
      <c r="U14" s="20">
        <f t="shared" si="9"/>
        <v>58682</v>
      </c>
      <c r="V14" s="20">
        <f t="shared" ref="V14:AJ14" si="10">SUM(V9:V13)</f>
        <v>59971</v>
      </c>
      <c r="W14" s="20">
        <f t="shared" si="10"/>
        <v>61299</v>
      </c>
      <c r="X14" s="20">
        <f t="shared" si="10"/>
        <v>64668</v>
      </c>
      <c r="Y14" s="20">
        <f t="shared" si="10"/>
        <v>29767</v>
      </c>
      <c r="Z14" s="20">
        <f t="shared" si="10"/>
        <v>30335</v>
      </c>
      <c r="AA14" s="20">
        <f t="shared" si="10"/>
        <v>30927</v>
      </c>
      <c r="AB14" s="20">
        <f t="shared" si="10"/>
        <v>31542</v>
      </c>
      <c r="AC14" s="20">
        <f t="shared" si="10"/>
        <v>34184</v>
      </c>
      <c r="AD14" s="20">
        <f t="shared" si="10"/>
        <v>34851</v>
      </c>
      <c r="AE14" s="20">
        <f t="shared" si="10"/>
        <v>35546</v>
      </c>
      <c r="AF14" s="20">
        <f t="shared" si="10"/>
        <v>18270</v>
      </c>
      <c r="AG14" s="20">
        <f t="shared" si="10"/>
        <v>19024</v>
      </c>
      <c r="AH14" s="20">
        <f t="shared" si="10"/>
        <v>19685</v>
      </c>
      <c r="AI14" s="20">
        <f t="shared" si="10"/>
        <v>0</v>
      </c>
      <c r="AJ14" s="20">
        <f t="shared" si="10"/>
        <v>0</v>
      </c>
    </row>
    <row r="15" spans="1:36" x14ac:dyDescent="0.2">
      <c r="A15" s="12"/>
      <c r="B15" s="13"/>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row>
    <row r="16" spans="1:36" x14ac:dyDescent="0.2">
      <c r="A16" s="12">
        <v>751</v>
      </c>
      <c r="B16" s="13" t="s">
        <v>224</v>
      </c>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row>
    <row r="17" spans="1:36" x14ac:dyDescent="0.2">
      <c r="A17" s="12">
        <v>5930</v>
      </c>
      <c r="B17" s="69" t="s">
        <v>36</v>
      </c>
      <c r="C17" s="132">
        <f t="shared" ref="C17:C22" si="11">ROUND((+C67*0.4),0)</f>
        <v>4408</v>
      </c>
      <c r="D17" s="132">
        <f t="shared" ref="D17:U17" si="12">ROUND((+D67*0.4),0)</f>
        <v>4266</v>
      </c>
      <c r="E17" s="132">
        <f t="shared" si="12"/>
        <v>3638</v>
      </c>
      <c r="F17" s="132">
        <f t="shared" si="12"/>
        <v>3241</v>
      </c>
      <c r="G17" s="132">
        <f t="shared" si="12"/>
        <v>2836</v>
      </c>
      <c r="H17" s="132">
        <f t="shared" si="12"/>
        <v>2424</v>
      </c>
      <c r="I17" s="132">
        <f t="shared" si="12"/>
        <v>2002</v>
      </c>
      <c r="J17" s="132">
        <f t="shared" si="12"/>
        <v>1572</v>
      </c>
      <c r="K17" s="132">
        <f t="shared" si="12"/>
        <v>1134</v>
      </c>
      <c r="L17" s="132">
        <f t="shared" si="12"/>
        <v>687</v>
      </c>
      <c r="M17" s="132">
        <f t="shared" si="12"/>
        <v>231</v>
      </c>
      <c r="N17" s="132">
        <f t="shared" si="12"/>
        <v>0</v>
      </c>
      <c r="O17" s="132">
        <f t="shared" si="12"/>
        <v>0</v>
      </c>
      <c r="P17" s="132">
        <f t="shared" si="12"/>
        <v>0</v>
      </c>
      <c r="Q17" s="132">
        <f t="shared" si="12"/>
        <v>0</v>
      </c>
      <c r="R17" s="132">
        <f t="shared" si="12"/>
        <v>0</v>
      </c>
      <c r="S17" s="132">
        <f t="shared" si="12"/>
        <v>0</v>
      </c>
      <c r="T17" s="132">
        <f t="shared" si="12"/>
        <v>0</v>
      </c>
      <c r="U17" s="132">
        <f t="shared" si="12"/>
        <v>0</v>
      </c>
      <c r="V17" s="132">
        <f t="shared" ref="V17:AC17" si="13">ROUND((+V67*0.4),0)</f>
        <v>0</v>
      </c>
      <c r="W17" s="132">
        <f t="shared" si="13"/>
        <v>0</v>
      </c>
      <c r="X17" s="132">
        <f t="shared" si="13"/>
        <v>0</v>
      </c>
      <c r="Y17" s="132">
        <f t="shared" si="13"/>
        <v>0</v>
      </c>
      <c r="Z17" s="132">
        <f t="shared" si="13"/>
        <v>0</v>
      </c>
      <c r="AA17" s="132">
        <f t="shared" si="13"/>
        <v>0</v>
      </c>
      <c r="AB17" s="132">
        <f t="shared" si="13"/>
        <v>0</v>
      </c>
      <c r="AC17" s="132">
        <f t="shared" si="13"/>
        <v>0</v>
      </c>
      <c r="AD17" s="132">
        <f t="shared" ref="AD17:AJ22" si="14">ROUND((+AD67*0.4),0)</f>
        <v>0</v>
      </c>
      <c r="AE17" s="132">
        <f t="shared" si="14"/>
        <v>0</v>
      </c>
      <c r="AF17" s="132">
        <f t="shared" si="14"/>
        <v>0</v>
      </c>
      <c r="AG17" s="132">
        <f t="shared" si="14"/>
        <v>0</v>
      </c>
      <c r="AH17" s="132">
        <f t="shared" si="14"/>
        <v>0</v>
      </c>
      <c r="AI17" s="132">
        <f t="shared" si="14"/>
        <v>0</v>
      </c>
      <c r="AJ17" s="132">
        <f t="shared" si="14"/>
        <v>0</v>
      </c>
    </row>
    <row r="18" spans="1:36" x14ac:dyDescent="0.2">
      <c r="A18" s="12" t="s">
        <v>599</v>
      </c>
      <c r="B18" s="69" t="s">
        <v>39</v>
      </c>
      <c r="C18" s="132">
        <f t="shared" si="11"/>
        <v>327</v>
      </c>
      <c r="D18" s="132">
        <f t="shared" ref="D18:U18" si="15">ROUND((+D68*0.4),0)</f>
        <v>302</v>
      </c>
      <c r="E18" s="132">
        <f t="shared" si="15"/>
        <v>273</v>
      </c>
      <c r="F18" s="132">
        <f t="shared" si="15"/>
        <v>243</v>
      </c>
      <c r="G18" s="132">
        <f t="shared" si="15"/>
        <v>213</v>
      </c>
      <c r="H18" s="132">
        <f t="shared" si="15"/>
        <v>182</v>
      </c>
      <c r="I18" s="132">
        <f t="shared" si="15"/>
        <v>150</v>
      </c>
      <c r="J18" s="132">
        <f t="shared" si="15"/>
        <v>118</v>
      </c>
      <c r="K18" s="132">
        <f t="shared" si="15"/>
        <v>85</v>
      </c>
      <c r="L18" s="132">
        <f t="shared" si="15"/>
        <v>52</v>
      </c>
      <c r="M18" s="132">
        <f t="shared" si="15"/>
        <v>178</v>
      </c>
      <c r="N18" s="132">
        <f t="shared" si="15"/>
        <v>0</v>
      </c>
      <c r="O18" s="132">
        <f t="shared" si="15"/>
        <v>0</v>
      </c>
      <c r="P18" s="132">
        <f t="shared" si="15"/>
        <v>0</v>
      </c>
      <c r="Q18" s="132">
        <f t="shared" si="15"/>
        <v>0</v>
      </c>
      <c r="R18" s="132">
        <f t="shared" si="15"/>
        <v>0</v>
      </c>
      <c r="S18" s="132">
        <f t="shared" si="15"/>
        <v>0</v>
      </c>
      <c r="T18" s="132">
        <f t="shared" si="15"/>
        <v>0</v>
      </c>
      <c r="U18" s="132">
        <f t="shared" si="15"/>
        <v>0</v>
      </c>
      <c r="V18" s="132">
        <f t="shared" ref="V18:AC18" si="16">ROUND((+V68*0.4),0)</f>
        <v>0</v>
      </c>
      <c r="W18" s="132">
        <f t="shared" si="16"/>
        <v>0</v>
      </c>
      <c r="X18" s="132">
        <f t="shared" si="16"/>
        <v>0</v>
      </c>
      <c r="Y18" s="132">
        <f t="shared" si="16"/>
        <v>0</v>
      </c>
      <c r="Z18" s="132">
        <f t="shared" si="16"/>
        <v>0</v>
      </c>
      <c r="AA18" s="132">
        <f t="shared" si="16"/>
        <v>0</v>
      </c>
      <c r="AB18" s="132">
        <f t="shared" si="16"/>
        <v>0</v>
      </c>
      <c r="AC18" s="132">
        <f t="shared" si="16"/>
        <v>0</v>
      </c>
      <c r="AD18" s="132">
        <f t="shared" si="14"/>
        <v>0</v>
      </c>
      <c r="AE18" s="132">
        <f t="shared" si="14"/>
        <v>0</v>
      </c>
      <c r="AF18" s="132">
        <f t="shared" si="14"/>
        <v>0</v>
      </c>
      <c r="AG18" s="132">
        <f t="shared" si="14"/>
        <v>0</v>
      </c>
      <c r="AH18" s="132">
        <f t="shared" si="14"/>
        <v>0</v>
      </c>
      <c r="AI18" s="132">
        <f t="shared" si="14"/>
        <v>0</v>
      </c>
      <c r="AJ18" s="132">
        <f t="shared" si="14"/>
        <v>0</v>
      </c>
    </row>
    <row r="19" spans="1:36" x14ac:dyDescent="0.2">
      <c r="A19" s="12">
        <v>5931</v>
      </c>
      <c r="B19" s="69" t="s">
        <v>37</v>
      </c>
      <c r="C19" s="132">
        <f t="shared" si="11"/>
        <v>14524</v>
      </c>
      <c r="D19" s="132">
        <f t="shared" ref="D19:U19" si="17">ROUND((+D69*0.4),0)</f>
        <v>14054</v>
      </c>
      <c r="E19" s="132">
        <f t="shared" si="17"/>
        <v>13468</v>
      </c>
      <c r="F19" s="132">
        <f t="shared" si="17"/>
        <v>12921</v>
      </c>
      <c r="G19" s="132">
        <f t="shared" si="17"/>
        <v>12360</v>
      </c>
      <c r="H19" s="132">
        <f t="shared" si="17"/>
        <v>11785</v>
      </c>
      <c r="I19" s="132">
        <f t="shared" si="17"/>
        <v>11197</v>
      </c>
      <c r="J19" s="132">
        <f t="shared" si="17"/>
        <v>10594</v>
      </c>
      <c r="K19" s="132">
        <f t="shared" si="17"/>
        <v>9976</v>
      </c>
      <c r="L19" s="132">
        <f t="shared" si="17"/>
        <v>9343</v>
      </c>
      <c r="M19" s="132">
        <f t="shared" si="17"/>
        <v>8695</v>
      </c>
      <c r="N19" s="132">
        <f t="shared" si="17"/>
        <v>8030</v>
      </c>
      <c r="O19" s="132">
        <f t="shared" si="17"/>
        <v>7350</v>
      </c>
      <c r="P19" s="132">
        <f t="shared" si="17"/>
        <v>6653</v>
      </c>
      <c r="Q19" s="132">
        <f t="shared" si="17"/>
        <v>5939</v>
      </c>
      <c r="R19" s="132">
        <f t="shared" si="17"/>
        <v>5208</v>
      </c>
      <c r="S19" s="132">
        <f t="shared" si="17"/>
        <v>4458</v>
      </c>
      <c r="T19" s="132">
        <f t="shared" si="17"/>
        <v>3691</v>
      </c>
      <c r="U19" s="132">
        <f t="shared" si="17"/>
        <v>2904</v>
      </c>
      <c r="V19" s="132">
        <f t="shared" ref="V19:AC19" si="18">ROUND((+V69*0.4),0)</f>
        <v>2099</v>
      </c>
      <c r="W19" s="132">
        <f t="shared" si="18"/>
        <v>1274</v>
      </c>
      <c r="X19" s="132">
        <f t="shared" si="18"/>
        <v>428</v>
      </c>
      <c r="Y19" s="132">
        <f t="shared" si="18"/>
        <v>0</v>
      </c>
      <c r="Z19" s="132">
        <f t="shared" si="18"/>
        <v>0</v>
      </c>
      <c r="AA19" s="132">
        <f t="shared" si="18"/>
        <v>0</v>
      </c>
      <c r="AB19" s="132">
        <f t="shared" si="18"/>
        <v>0</v>
      </c>
      <c r="AC19" s="132">
        <f t="shared" si="18"/>
        <v>0</v>
      </c>
      <c r="AD19" s="132">
        <f t="shared" si="14"/>
        <v>0</v>
      </c>
      <c r="AE19" s="132">
        <f t="shared" si="14"/>
        <v>0</v>
      </c>
      <c r="AF19" s="132">
        <f t="shared" si="14"/>
        <v>0</v>
      </c>
      <c r="AG19" s="132">
        <f t="shared" si="14"/>
        <v>0</v>
      </c>
      <c r="AH19" s="132">
        <f t="shared" si="14"/>
        <v>0</v>
      </c>
      <c r="AI19" s="132">
        <f t="shared" si="14"/>
        <v>0</v>
      </c>
      <c r="AJ19" s="132">
        <f t="shared" si="14"/>
        <v>0</v>
      </c>
    </row>
    <row r="20" spans="1:36" x14ac:dyDescent="0.2">
      <c r="A20" s="12" t="s">
        <v>600</v>
      </c>
      <c r="B20" s="69" t="s">
        <v>40</v>
      </c>
      <c r="C20" s="132">
        <f t="shared" si="11"/>
        <v>903</v>
      </c>
      <c r="D20" s="132">
        <f t="shared" ref="D20:U20" si="19">ROUND((+D70*0.4),0)</f>
        <v>870</v>
      </c>
      <c r="E20" s="132">
        <f t="shared" si="19"/>
        <v>837</v>
      </c>
      <c r="F20" s="132">
        <f t="shared" si="19"/>
        <v>803</v>
      </c>
      <c r="G20" s="132">
        <f t="shared" si="19"/>
        <v>768</v>
      </c>
      <c r="H20" s="132">
        <f t="shared" si="19"/>
        <v>732</v>
      </c>
      <c r="I20" s="132">
        <f t="shared" si="19"/>
        <v>696</v>
      </c>
      <c r="J20" s="132">
        <f t="shared" si="19"/>
        <v>658</v>
      </c>
      <c r="K20" s="132">
        <f t="shared" si="19"/>
        <v>580</v>
      </c>
      <c r="L20" s="132">
        <f t="shared" si="19"/>
        <v>581</v>
      </c>
      <c r="M20" s="132">
        <f t="shared" si="19"/>
        <v>540</v>
      </c>
      <c r="N20" s="132">
        <f t="shared" si="19"/>
        <v>499</v>
      </c>
      <c r="O20" s="132">
        <f t="shared" si="19"/>
        <v>457</v>
      </c>
      <c r="P20" s="132">
        <f t="shared" si="19"/>
        <v>414</v>
      </c>
      <c r="Q20" s="132">
        <f t="shared" si="19"/>
        <v>369</v>
      </c>
      <c r="R20" s="132">
        <f t="shared" si="19"/>
        <v>324</v>
      </c>
      <c r="S20" s="132">
        <f t="shared" si="19"/>
        <v>277</v>
      </c>
      <c r="T20" s="132">
        <f t="shared" si="19"/>
        <v>230</v>
      </c>
      <c r="U20" s="132">
        <f t="shared" si="19"/>
        <v>181</v>
      </c>
      <c r="V20" s="132">
        <f t="shared" ref="V20:AC20" si="20">ROUND((+V70*0.4),0)</f>
        <v>131</v>
      </c>
      <c r="W20" s="132">
        <f t="shared" si="20"/>
        <v>79</v>
      </c>
      <c r="X20" s="132">
        <f t="shared" si="20"/>
        <v>27</v>
      </c>
      <c r="Y20" s="132">
        <f t="shared" si="20"/>
        <v>0</v>
      </c>
      <c r="Z20" s="132">
        <f t="shared" si="20"/>
        <v>0</v>
      </c>
      <c r="AA20" s="132">
        <f t="shared" si="20"/>
        <v>0</v>
      </c>
      <c r="AB20" s="132">
        <f t="shared" si="20"/>
        <v>0</v>
      </c>
      <c r="AC20" s="132">
        <f t="shared" si="20"/>
        <v>0</v>
      </c>
      <c r="AD20" s="132">
        <f t="shared" si="14"/>
        <v>0</v>
      </c>
      <c r="AE20" s="132">
        <f t="shared" si="14"/>
        <v>0</v>
      </c>
      <c r="AF20" s="132">
        <f t="shared" si="14"/>
        <v>0</v>
      </c>
      <c r="AG20" s="132">
        <f t="shared" si="14"/>
        <v>0</v>
      </c>
      <c r="AH20" s="132">
        <f t="shared" si="14"/>
        <v>0</v>
      </c>
      <c r="AI20" s="132">
        <f t="shared" si="14"/>
        <v>0</v>
      </c>
      <c r="AJ20" s="132">
        <f t="shared" si="14"/>
        <v>0</v>
      </c>
    </row>
    <row r="21" spans="1:36" s="467" customFormat="1" x14ac:dyDescent="0.2">
      <c r="A21" s="857">
        <v>5932</v>
      </c>
      <c r="B21" s="846" t="s">
        <v>38</v>
      </c>
      <c r="C21" s="840">
        <f t="shared" si="11"/>
        <v>16130</v>
      </c>
      <c r="D21" s="840">
        <f t="shared" ref="D21:U21" si="21">ROUND((+D71*0.4),0)</f>
        <v>15860</v>
      </c>
      <c r="E21" s="840">
        <f t="shared" si="21"/>
        <v>15578</v>
      </c>
      <c r="F21" s="840">
        <f t="shared" si="21"/>
        <v>15283</v>
      </c>
      <c r="G21" s="840">
        <f t="shared" si="21"/>
        <v>10765</v>
      </c>
      <c r="H21" s="840">
        <f t="shared" si="21"/>
        <v>10103</v>
      </c>
      <c r="I21" s="840">
        <f t="shared" si="21"/>
        <v>9703</v>
      </c>
      <c r="J21" s="840">
        <f t="shared" si="21"/>
        <v>9303</v>
      </c>
      <c r="K21" s="840">
        <f t="shared" si="21"/>
        <v>8803</v>
      </c>
      <c r="L21" s="840">
        <f t="shared" si="21"/>
        <v>8303</v>
      </c>
      <c r="M21" s="840">
        <f t="shared" si="21"/>
        <v>7803</v>
      </c>
      <c r="N21" s="840">
        <f t="shared" si="21"/>
        <v>7303</v>
      </c>
      <c r="O21" s="840">
        <f t="shared" si="21"/>
        <v>6703</v>
      </c>
      <c r="P21" s="840">
        <f t="shared" si="21"/>
        <v>6103</v>
      </c>
      <c r="Q21" s="840">
        <f t="shared" si="21"/>
        <v>5503</v>
      </c>
      <c r="R21" s="840">
        <f t="shared" si="21"/>
        <v>5223</v>
      </c>
      <c r="S21" s="840">
        <f t="shared" si="21"/>
        <v>4943</v>
      </c>
      <c r="T21" s="840">
        <f t="shared" si="21"/>
        <v>4663</v>
      </c>
      <c r="U21" s="840">
        <f t="shared" si="21"/>
        <v>4365</v>
      </c>
      <c r="V21" s="840">
        <f t="shared" ref="V21:AC21" si="22">ROUND((+V71*0.4),0)</f>
        <v>4068</v>
      </c>
      <c r="W21" s="840">
        <f t="shared" si="22"/>
        <v>3753</v>
      </c>
      <c r="X21" s="840">
        <f t="shared" si="22"/>
        <v>3420</v>
      </c>
      <c r="Y21" s="840">
        <f t="shared" si="22"/>
        <v>3040</v>
      </c>
      <c r="Z21" s="840">
        <f t="shared" si="22"/>
        <v>2660</v>
      </c>
      <c r="AA21" s="840">
        <f t="shared" si="22"/>
        <v>2260</v>
      </c>
      <c r="AB21" s="840">
        <f t="shared" si="22"/>
        <v>1860</v>
      </c>
      <c r="AC21" s="840">
        <f t="shared" si="22"/>
        <v>1440</v>
      </c>
      <c r="AD21" s="840">
        <f t="shared" si="14"/>
        <v>968</v>
      </c>
      <c r="AE21" s="840">
        <f t="shared" si="14"/>
        <v>495</v>
      </c>
      <c r="AF21" s="840">
        <f t="shared" si="14"/>
        <v>0</v>
      </c>
      <c r="AG21" s="840">
        <f t="shared" si="14"/>
        <v>0</v>
      </c>
      <c r="AH21" s="840">
        <f t="shared" si="14"/>
        <v>0</v>
      </c>
      <c r="AI21" s="840">
        <f t="shared" si="14"/>
        <v>0</v>
      </c>
      <c r="AJ21" s="840">
        <f t="shared" si="14"/>
        <v>0</v>
      </c>
    </row>
    <row r="22" spans="1:36" ht="13.5" thickBot="1" x14ac:dyDescent="0.25">
      <c r="A22" s="12">
        <v>5933</v>
      </c>
      <c r="B22" s="69" t="s">
        <v>341</v>
      </c>
      <c r="C22" s="133">
        <f t="shared" si="11"/>
        <v>14962</v>
      </c>
      <c r="D22" s="133">
        <f t="shared" ref="D22:U22" si="23">ROUND((+D72*0.4),0)</f>
        <v>14729</v>
      </c>
      <c r="E22" s="133">
        <f t="shared" si="23"/>
        <v>14486</v>
      </c>
      <c r="F22" s="133">
        <f t="shared" si="23"/>
        <v>14233</v>
      </c>
      <c r="G22" s="133">
        <f t="shared" si="23"/>
        <v>13970</v>
      </c>
      <c r="H22" s="133">
        <f t="shared" si="23"/>
        <v>13695</v>
      </c>
      <c r="I22" s="133">
        <f t="shared" si="23"/>
        <v>13410</v>
      </c>
      <c r="J22" s="133">
        <f t="shared" si="23"/>
        <v>13112</v>
      </c>
      <c r="K22" s="133">
        <f t="shared" si="23"/>
        <v>12802</v>
      </c>
      <c r="L22" s="133">
        <f t="shared" si="23"/>
        <v>12480</v>
      </c>
      <c r="M22" s="133">
        <f t="shared" si="23"/>
        <v>12144</v>
      </c>
      <c r="N22" s="133">
        <f t="shared" si="23"/>
        <v>11795</v>
      </c>
      <c r="O22" s="133">
        <f t="shared" si="23"/>
        <v>11431</v>
      </c>
      <c r="P22" s="133">
        <f t="shared" si="23"/>
        <v>11052</v>
      </c>
      <c r="Q22" s="133">
        <f t="shared" si="23"/>
        <v>10657</v>
      </c>
      <c r="R22" s="133">
        <f t="shared" si="23"/>
        <v>10246</v>
      </c>
      <c r="S22" s="133">
        <f t="shared" si="23"/>
        <v>9818</v>
      </c>
      <c r="T22" s="133">
        <f t="shared" si="23"/>
        <v>9372</v>
      </c>
      <c r="U22" s="133">
        <f t="shared" si="23"/>
        <v>8908</v>
      </c>
      <c r="V22" s="133">
        <f t="shared" ref="V22:AC22" si="24">ROUND((+V72*0.4),0)</f>
        <v>8425</v>
      </c>
      <c r="W22" s="133">
        <f t="shared" si="24"/>
        <v>7922</v>
      </c>
      <c r="X22" s="133">
        <f t="shared" si="24"/>
        <v>7398</v>
      </c>
      <c r="Y22" s="133">
        <f t="shared" si="24"/>
        <v>6853</v>
      </c>
      <c r="Z22" s="133">
        <f t="shared" si="24"/>
        <v>6285</v>
      </c>
      <c r="AA22" s="133">
        <f t="shared" si="24"/>
        <v>5694</v>
      </c>
      <c r="AB22" s="133">
        <f t="shared" si="24"/>
        <v>5078</v>
      </c>
      <c r="AC22" s="133">
        <f t="shared" si="24"/>
        <v>4437</v>
      </c>
      <c r="AD22" s="133">
        <f t="shared" si="14"/>
        <v>3769</v>
      </c>
      <c r="AE22" s="133">
        <f t="shared" si="14"/>
        <v>3074</v>
      </c>
      <c r="AF22" s="133">
        <f t="shared" si="14"/>
        <v>1150</v>
      </c>
      <c r="AG22" s="133">
        <f t="shared" si="14"/>
        <v>1597</v>
      </c>
      <c r="AH22" s="133">
        <f t="shared" si="14"/>
        <v>812</v>
      </c>
      <c r="AI22" s="133">
        <f t="shared" si="14"/>
        <v>0</v>
      </c>
      <c r="AJ22" s="133">
        <f t="shared" si="14"/>
        <v>0</v>
      </c>
    </row>
    <row r="23" spans="1:36" x14ac:dyDescent="0.2">
      <c r="A23" s="12"/>
      <c r="B23" s="13"/>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row>
    <row r="24" spans="1:36" x14ac:dyDescent="0.2">
      <c r="A24" s="12"/>
      <c r="B24" s="18" t="s">
        <v>224</v>
      </c>
      <c r="C24" s="20">
        <f>SUM(C16:C23)</f>
        <v>51254</v>
      </c>
      <c r="D24" s="20">
        <f t="shared" ref="D24:U24" si="25">SUM(D16:D23)</f>
        <v>50081</v>
      </c>
      <c r="E24" s="20">
        <f t="shared" si="25"/>
        <v>48280</v>
      </c>
      <c r="F24" s="20">
        <f t="shared" si="25"/>
        <v>46724</v>
      </c>
      <c r="G24" s="20">
        <f t="shared" si="25"/>
        <v>40912</v>
      </c>
      <c r="H24" s="20">
        <f t="shared" si="25"/>
        <v>38921</v>
      </c>
      <c r="I24" s="20">
        <f t="shared" si="25"/>
        <v>37158</v>
      </c>
      <c r="J24" s="20">
        <f t="shared" si="25"/>
        <v>35357</v>
      </c>
      <c r="K24" s="20">
        <f t="shared" si="25"/>
        <v>33380</v>
      </c>
      <c r="L24" s="20">
        <f t="shared" si="25"/>
        <v>31446</v>
      </c>
      <c r="M24" s="20">
        <f t="shared" si="25"/>
        <v>29591</v>
      </c>
      <c r="N24" s="20">
        <f t="shared" si="25"/>
        <v>27627</v>
      </c>
      <c r="O24" s="20">
        <f t="shared" si="25"/>
        <v>25941</v>
      </c>
      <c r="P24" s="20">
        <f t="shared" si="25"/>
        <v>24222</v>
      </c>
      <c r="Q24" s="20">
        <f t="shared" si="25"/>
        <v>22468</v>
      </c>
      <c r="R24" s="20">
        <f t="shared" si="25"/>
        <v>21001</v>
      </c>
      <c r="S24" s="20">
        <f t="shared" si="25"/>
        <v>19496</v>
      </c>
      <c r="T24" s="20">
        <f t="shared" si="25"/>
        <v>17956</v>
      </c>
      <c r="U24" s="20">
        <f t="shared" si="25"/>
        <v>16358</v>
      </c>
      <c r="V24" s="20">
        <f t="shared" ref="V24:AJ24" si="26">SUM(V16:V23)</f>
        <v>14723</v>
      </c>
      <c r="W24" s="20">
        <f t="shared" si="26"/>
        <v>13028</v>
      </c>
      <c r="X24" s="20">
        <f t="shared" si="26"/>
        <v>11273</v>
      </c>
      <c r="Y24" s="20">
        <f t="shared" si="26"/>
        <v>9893</v>
      </c>
      <c r="Z24" s="20">
        <f t="shared" si="26"/>
        <v>8945</v>
      </c>
      <c r="AA24" s="20">
        <f t="shared" si="26"/>
        <v>7954</v>
      </c>
      <c r="AB24" s="20">
        <f t="shared" si="26"/>
        <v>6938</v>
      </c>
      <c r="AC24" s="20">
        <f t="shared" si="26"/>
        <v>5877</v>
      </c>
      <c r="AD24" s="20">
        <f t="shared" si="26"/>
        <v>4737</v>
      </c>
      <c r="AE24" s="20">
        <f t="shared" si="26"/>
        <v>3569</v>
      </c>
      <c r="AF24" s="20">
        <f t="shared" si="26"/>
        <v>1150</v>
      </c>
      <c r="AG24" s="20">
        <f t="shared" si="26"/>
        <v>1597</v>
      </c>
      <c r="AH24" s="20">
        <f t="shared" si="26"/>
        <v>812</v>
      </c>
      <c r="AI24" s="20">
        <f t="shared" si="26"/>
        <v>0</v>
      </c>
      <c r="AJ24" s="20">
        <f t="shared" si="26"/>
        <v>0</v>
      </c>
    </row>
    <row r="25" spans="1:36" x14ac:dyDescent="0.2">
      <c r="A25" s="12"/>
      <c r="B25" s="18"/>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x14ac:dyDescent="0.2">
      <c r="A26" s="12"/>
      <c r="B26" s="13" t="s">
        <v>894</v>
      </c>
      <c r="C26" s="15">
        <f>+C24+C14</f>
        <v>103301</v>
      </c>
      <c r="D26" s="15">
        <f t="shared" ref="D26:U26" si="27">+D24+D14</f>
        <v>103534</v>
      </c>
      <c r="E26" s="15">
        <f t="shared" si="27"/>
        <v>103181</v>
      </c>
      <c r="F26" s="15">
        <f t="shared" si="27"/>
        <v>103117</v>
      </c>
      <c r="G26" s="15">
        <f t="shared" si="27"/>
        <v>99837</v>
      </c>
      <c r="H26" s="15">
        <f t="shared" si="27"/>
        <v>98784</v>
      </c>
      <c r="I26" s="15">
        <f t="shared" si="27"/>
        <v>98317</v>
      </c>
      <c r="J26" s="15">
        <f t="shared" si="27"/>
        <v>99846</v>
      </c>
      <c r="K26" s="15">
        <f t="shared" si="27"/>
        <v>99234</v>
      </c>
      <c r="L26" s="15">
        <f t="shared" si="27"/>
        <v>98703</v>
      </c>
      <c r="M26" s="15">
        <f t="shared" si="27"/>
        <v>98289</v>
      </c>
      <c r="N26" s="15">
        <f t="shared" si="27"/>
        <v>76297</v>
      </c>
      <c r="O26" s="15">
        <f t="shared" si="27"/>
        <v>75655</v>
      </c>
      <c r="P26" s="15">
        <f t="shared" si="27"/>
        <v>75012</v>
      </c>
      <c r="Q26" s="15">
        <f t="shared" si="27"/>
        <v>76367</v>
      </c>
      <c r="R26" s="15">
        <f t="shared" si="27"/>
        <v>76042</v>
      </c>
      <c r="S26" s="15">
        <f t="shared" si="27"/>
        <v>75714</v>
      </c>
      <c r="T26" s="15">
        <f t="shared" si="27"/>
        <v>75388</v>
      </c>
      <c r="U26" s="15">
        <f t="shared" si="27"/>
        <v>75040</v>
      </c>
      <c r="V26" s="15">
        <f t="shared" ref="V26:AC26" si="28">+V24+V14</f>
        <v>74694</v>
      </c>
      <c r="W26" s="15">
        <f t="shared" si="28"/>
        <v>74327</v>
      </c>
      <c r="X26" s="15">
        <f t="shared" si="28"/>
        <v>75941</v>
      </c>
      <c r="Y26" s="15">
        <f t="shared" si="28"/>
        <v>39660</v>
      </c>
      <c r="Z26" s="15">
        <f t="shared" si="28"/>
        <v>39280</v>
      </c>
      <c r="AA26" s="15">
        <f t="shared" si="28"/>
        <v>38881</v>
      </c>
      <c r="AB26" s="15">
        <f t="shared" si="28"/>
        <v>38480</v>
      </c>
      <c r="AC26" s="15">
        <f t="shared" si="28"/>
        <v>40061</v>
      </c>
      <c r="AD26" s="15">
        <f t="shared" ref="AD26:AJ26" si="29">+AD24+AD14</f>
        <v>39588</v>
      </c>
      <c r="AE26" s="15">
        <f t="shared" si="29"/>
        <v>39115</v>
      </c>
      <c r="AF26" s="15">
        <f t="shared" si="29"/>
        <v>19420</v>
      </c>
      <c r="AG26" s="15">
        <f t="shared" si="29"/>
        <v>20621</v>
      </c>
      <c r="AH26" s="15">
        <f t="shared" si="29"/>
        <v>20497</v>
      </c>
      <c r="AI26" s="15">
        <f t="shared" si="29"/>
        <v>0</v>
      </c>
      <c r="AJ26" s="15">
        <f t="shared" si="29"/>
        <v>0</v>
      </c>
    </row>
    <row r="28" spans="1:36" ht="13.5" thickBot="1" x14ac:dyDescent="0.25"/>
    <row r="29" spans="1:36" ht="13.5" thickTop="1" x14ac:dyDescent="0.2">
      <c r="A29" s="5"/>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row>
    <row r="30" spans="1:36" x14ac:dyDescent="0.2">
      <c r="A30" s="93"/>
      <c r="B30" s="90" t="s">
        <v>893</v>
      </c>
      <c r="C30" s="51" t="s">
        <v>881</v>
      </c>
      <c r="D30" s="51" t="s">
        <v>897</v>
      </c>
      <c r="E30" s="51" t="s">
        <v>898</v>
      </c>
      <c r="F30" s="51" t="s">
        <v>899</v>
      </c>
      <c r="G30" s="51" t="s">
        <v>900</v>
      </c>
      <c r="H30" s="51" t="s">
        <v>901</v>
      </c>
      <c r="I30" s="51" t="s">
        <v>902</v>
      </c>
      <c r="J30" s="51" t="s">
        <v>903</v>
      </c>
      <c r="K30" s="51" t="s">
        <v>904</v>
      </c>
      <c r="L30" s="51" t="s">
        <v>905</v>
      </c>
      <c r="M30" s="51" t="s">
        <v>906</v>
      </c>
      <c r="N30" s="51" t="s">
        <v>907</v>
      </c>
      <c r="O30" s="51" t="s">
        <v>908</v>
      </c>
      <c r="P30" s="51" t="s">
        <v>909</v>
      </c>
      <c r="Q30" s="51" t="s">
        <v>910</v>
      </c>
      <c r="R30" s="51" t="s">
        <v>911</v>
      </c>
      <c r="S30" s="51" t="s">
        <v>912</v>
      </c>
      <c r="T30" s="51" t="s">
        <v>913</v>
      </c>
      <c r="U30" s="51" t="s">
        <v>914</v>
      </c>
      <c r="V30" s="51" t="s">
        <v>915</v>
      </c>
      <c r="W30" s="51" t="s">
        <v>916</v>
      </c>
      <c r="X30" s="51" t="s">
        <v>917</v>
      </c>
      <c r="Y30" s="51" t="s">
        <v>918</v>
      </c>
      <c r="Z30" s="51" t="s">
        <v>919</v>
      </c>
      <c r="AA30" s="51" t="s">
        <v>920</v>
      </c>
      <c r="AB30" s="51" t="s">
        <v>921</v>
      </c>
      <c r="AC30" s="51" t="s">
        <v>922</v>
      </c>
      <c r="AD30" s="51" t="s">
        <v>923</v>
      </c>
      <c r="AE30" s="51" t="s">
        <v>924</v>
      </c>
      <c r="AF30" s="51" t="s">
        <v>925</v>
      </c>
      <c r="AG30" s="51" t="s">
        <v>926</v>
      </c>
      <c r="AH30" s="51" t="s">
        <v>927</v>
      </c>
      <c r="AI30" s="51" t="s">
        <v>928</v>
      </c>
      <c r="AJ30" s="51" t="s">
        <v>929</v>
      </c>
    </row>
    <row r="31" spans="1:36" x14ac:dyDescent="0.2">
      <c r="A31" s="93"/>
      <c r="B31" s="9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row>
    <row r="32" spans="1:36" ht="13.5" thickBot="1" x14ac:dyDescent="0.25">
      <c r="A32" s="8" t="s">
        <v>123</v>
      </c>
      <c r="B32" s="8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ht="13.5" thickTop="1" x14ac:dyDescent="0.2">
      <c r="A33" s="30"/>
      <c r="B33" s="31"/>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row>
    <row r="34" spans="1:36" x14ac:dyDescent="0.2">
      <c r="A34" s="12">
        <v>710</v>
      </c>
      <c r="B34" s="13" t="s">
        <v>223</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row>
    <row r="35" spans="1:36" x14ac:dyDescent="0.2">
      <c r="A35" s="12">
        <v>5930</v>
      </c>
      <c r="B35" s="117" t="s">
        <v>36</v>
      </c>
      <c r="C35" s="132">
        <f>+C60-C10</f>
        <v>28298</v>
      </c>
      <c r="D35" s="132">
        <f t="shared" ref="D35:U35" si="30">+D60-D10</f>
        <v>28869</v>
      </c>
      <c r="E35" s="132">
        <f t="shared" si="30"/>
        <v>29452</v>
      </c>
      <c r="F35" s="132">
        <f t="shared" si="30"/>
        <v>30047</v>
      </c>
      <c r="G35" s="132">
        <f t="shared" si="30"/>
        <v>31141</v>
      </c>
      <c r="H35" s="132">
        <f t="shared" si="30"/>
        <v>31274</v>
      </c>
      <c r="I35" s="132">
        <f t="shared" si="30"/>
        <v>31906</v>
      </c>
      <c r="J35" s="132">
        <f t="shared" si="30"/>
        <v>32550</v>
      </c>
      <c r="K35" s="132">
        <f t="shared" si="30"/>
        <v>33208</v>
      </c>
      <c r="L35" s="132">
        <f t="shared" si="30"/>
        <v>33878</v>
      </c>
      <c r="M35" s="132">
        <f t="shared" si="30"/>
        <v>34563</v>
      </c>
      <c r="N35" s="132">
        <f t="shared" si="30"/>
        <v>0</v>
      </c>
      <c r="O35" s="132">
        <f t="shared" si="30"/>
        <v>0</v>
      </c>
      <c r="P35" s="132">
        <f t="shared" si="30"/>
        <v>0</v>
      </c>
      <c r="Q35" s="132">
        <f t="shared" si="30"/>
        <v>0</v>
      </c>
      <c r="R35" s="132">
        <f t="shared" si="30"/>
        <v>0</v>
      </c>
      <c r="S35" s="132">
        <f t="shared" si="30"/>
        <v>0</v>
      </c>
      <c r="T35" s="132">
        <f t="shared" si="30"/>
        <v>0</v>
      </c>
      <c r="U35" s="132">
        <f t="shared" si="30"/>
        <v>0</v>
      </c>
      <c r="V35" s="132">
        <f t="shared" ref="V35:AC35" si="31">+V60-V10</f>
        <v>0</v>
      </c>
      <c r="W35" s="132">
        <f t="shared" si="31"/>
        <v>0</v>
      </c>
      <c r="X35" s="132">
        <f t="shared" si="31"/>
        <v>0</v>
      </c>
      <c r="Y35" s="132">
        <f t="shared" si="31"/>
        <v>0</v>
      </c>
      <c r="Z35" s="132">
        <f t="shared" si="31"/>
        <v>0</v>
      </c>
      <c r="AA35" s="132">
        <f t="shared" si="31"/>
        <v>0</v>
      </c>
      <c r="AB35" s="132">
        <f t="shared" si="31"/>
        <v>0</v>
      </c>
      <c r="AC35" s="132">
        <f t="shared" si="31"/>
        <v>0</v>
      </c>
      <c r="AD35" s="132">
        <f t="shared" ref="AD35:AJ38" si="32">+AD60-AD10</f>
        <v>0</v>
      </c>
      <c r="AE35" s="132">
        <f t="shared" si="32"/>
        <v>0</v>
      </c>
      <c r="AF35" s="132">
        <f t="shared" si="32"/>
        <v>0</v>
      </c>
      <c r="AG35" s="132">
        <f t="shared" si="32"/>
        <v>0</v>
      </c>
      <c r="AH35" s="132">
        <f t="shared" si="32"/>
        <v>0</v>
      </c>
      <c r="AI35" s="132">
        <f t="shared" si="32"/>
        <v>0</v>
      </c>
      <c r="AJ35" s="132">
        <f t="shared" si="32"/>
        <v>0</v>
      </c>
    </row>
    <row r="36" spans="1:36" x14ac:dyDescent="0.2">
      <c r="A36" s="12">
        <v>5931</v>
      </c>
      <c r="B36" s="69" t="s">
        <v>37</v>
      </c>
      <c r="C36" s="132">
        <f>+C61-C11</f>
        <v>32025</v>
      </c>
      <c r="D36" s="132">
        <f t="shared" ref="D36:U36" si="33">+D61-D11</f>
        <v>32807</v>
      </c>
      <c r="E36" s="132">
        <f t="shared" si="33"/>
        <v>33610</v>
      </c>
      <c r="F36" s="132">
        <f t="shared" si="33"/>
        <v>34430</v>
      </c>
      <c r="G36" s="132">
        <f t="shared" si="33"/>
        <v>35272</v>
      </c>
      <c r="H36" s="132">
        <f t="shared" si="33"/>
        <v>36134</v>
      </c>
      <c r="I36" s="132">
        <f t="shared" si="33"/>
        <v>37016</v>
      </c>
      <c r="J36" s="132">
        <f t="shared" si="33"/>
        <v>37921</v>
      </c>
      <c r="K36" s="132">
        <f t="shared" si="33"/>
        <v>38848</v>
      </c>
      <c r="L36" s="132">
        <f t="shared" si="33"/>
        <v>39797</v>
      </c>
      <c r="M36" s="132">
        <f t="shared" si="33"/>
        <v>40769</v>
      </c>
      <c r="N36" s="132">
        <f t="shared" si="33"/>
        <v>41765</v>
      </c>
      <c r="O36" s="132">
        <f t="shared" si="33"/>
        <v>42786</v>
      </c>
      <c r="P36" s="132">
        <f t="shared" si="33"/>
        <v>43832</v>
      </c>
      <c r="Q36" s="132">
        <f t="shared" si="33"/>
        <v>44903</v>
      </c>
      <c r="R36" s="132">
        <f t="shared" si="33"/>
        <v>46000</v>
      </c>
      <c r="S36" s="132">
        <f t="shared" si="33"/>
        <v>47124</v>
      </c>
      <c r="T36" s="132">
        <f t="shared" si="33"/>
        <v>48275</v>
      </c>
      <c r="U36" s="132">
        <f t="shared" si="33"/>
        <v>49455</v>
      </c>
      <c r="V36" s="132">
        <f t="shared" ref="V36:AC36" si="34">+V61-V11</f>
        <v>50663</v>
      </c>
      <c r="W36" s="132">
        <f t="shared" si="34"/>
        <v>51901</v>
      </c>
      <c r="X36" s="132">
        <f t="shared" si="34"/>
        <v>53170</v>
      </c>
      <c r="Y36" s="132">
        <f t="shared" si="34"/>
        <v>0</v>
      </c>
      <c r="Z36" s="132">
        <f t="shared" si="34"/>
        <v>0</v>
      </c>
      <c r="AA36" s="132">
        <f t="shared" si="34"/>
        <v>0</v>
      </c>
      <c r="AB36" s="132">
        <f t="shared" si="34"/>
        <v>0</v>
      </c>
      <c r="AC36" s="132">
        <f t="shared" si="34"/>
        <v>0</v>
      </c>
      <c r="AD36" s="132">
        <f t="shared" si="32"/>
        <v>0</v>
      </c>
      <c r="AE36" s="132">
        <f t="shared" si="32"/>
        <v>0</v>
      </c>
      <c r="AF36" s="132">
        <f t="shared" si="32"/>
        <v>0</v>
      </c>
      <c r="AG36" s="132">
        <f t="shared" si="32"/>
        <v>0</v>
      </c>
      <c r="AH36" s="132">
        <f t="shared" si="32"/>
        <v>0</v>
      </c>
      <c r="AI36" s="132">
        <f t="shared" si="32"/>
        <v>0</v>
      </c>
      <c r="AJ36" s="132">
        <f t="shared" si="32"/>
        <v>0</v>
      </c>
    </row>
    <row r="37" spans="1:36" x14ac:dyDescent="0.2">
      <c r="A37" s="12">
        <v>5932</v>
      </c>
      <c r="B37" s="69" t="s">
        <v>38</v>
      </c>
      <c r="C37" s="132">
        <f>+C62-C12</f>
        <v>9260</v>
      </c>
      <c r="D37" s="132">
        <f t="shared" ref="D37:U37" si="35">+D62-D12</f>
        <v>9665</v>
      </c>
      <c r="E37" s="132">
        <f t="shared" si="35"/>
        <v>10088</v>
      </c>
      <c r="F37" s="132">
        <f t="shared" si="35"/>
        <v>10530</v>
      </c>
      <c r="G37" s="132">
        <f t="shared" si="35"/>
        <v>12000</v>
      </c>
      <c r="H37" s="132">
        <f t="shared" si="35"/>
        <v>12000</v>
      </c>
      <c r="I37" s="132">
        <f t="shared" si="35"/>
        <v>12000</v>
      </c>
      <c r="J37" s="132">
        <f t="shared" si="35"/>
        <v>15000</v>
      </c>
      <c r="K37" s="132">
        <f t="shared" si="35"/>
        <v>15000</v>
      </c>
      <c r="L37" s="132">
        <f t="shared" si="35"/>
        <v>15000</v>
      </c>
      <c r="M37" s="132">
        <f t="shared" si="35"/>
        <v>15000</v>
      </c>
      <c r="N37" s="132">
        <f t="shared" si="35"/>
        <v>18000</v>
      </c>
      <c r="O37" s="132">
        <f t="shared" si="35"/>
        <v>18000</v>
      </c>
      <c r="P37" s="132">
        <f t="shared" si="35"/>
        <v>18000</v>
      </c>
      <c r="Q37" s="132">
        <f t="shared" si="35"/>
        <v>21000</v>
      </c>
      <c r="R37" s="132">
        <f t="shared" si="35"/>
        <v>21000</v>
      </c>
      <c r="S37" s="132">
        <f t="shared" si="35"/>
        <v>21000</v>
      </c>
      <c r="T37" s="132">
        <f t="shared" si="35"/>
        <v>21000</v>
      </c>
      <c r="U37" s="132">
        <f t="shared" si="35"/>
        <v>21000</v>
      </c>
      <c r="V37" s="132">
        <f t="shared" ref="V37:AC37" si="36">+V62-V12</f>
        <v>21000</v>
      </c>
      <c r="W37" s="132">
        <f t="shared" si="36"/>
        <v>21000</v>
      </c>
      <c r="X37" s="132">
        <f t="shared" si="36"/>
        <v>24000</v>
      </c>
      <c r="Y37" s="132">
        <f t="shared" si="36"/>
        <v>24000</v>
      </c>
      <c r="Z37" s="132">
        <f t="shared" si="36"/>
        <v>24000</v>
      </c>
      <c r="AA37" s="132">
        <f t="shared" si="36"/>
        <v>24000</v>
      </c>
      <c r="AB37" s="132">
        <f t="shared" si="36"/>
        <v>24000</v>
      </c>
      <c r="AC37" s="132">
        <f t="shared" si="36"/>
        <v>27000</v>
      </c>
      <c r="AD37" s="132">
        <f t="shared" si="32"/>
        <v>27000</v>
      </c>
      <c r="AE37" s="132">
        <f t="shared" si="32"/>
        <v>27000</v>
      </c>
      <c r="AF37" s="132">
        <f t="shared" si="32"/>
        <v>0</v>
      </c>
      <c r="AG37" s="132">
        <f t="shared" si="32"/>
        <v>0</v>
      </c>
      <c r="AH37" s="132">
        <f t="shared" si="32"/>
        <v>0</v>
      </c>
      <c r="AI37" s="132">
        <f t="shared" si="32"/>
        <v>0</v>
      </c>
      <c r="AJ37" s="132">
        <f t="shared" si="32"/>
        <v>0</v>
      </c>
    </row>
    <row r="38" spans="1:36" ht="13.5" thickBot="1" x14ac:dyDescent="0.25">
      <c r="A38" s="12">
        <v>5933</v>
      </c>
      <c r="B38" s="69" t="s">
        <v>341</v>
      </c>
      <c r="C38" s="133">
        <f>+C63-C13</f>
        <v>8487</v>
      </c>
      <c r="D38" s="133">
        <f t="shared" ref="D38:U38" si="37">+D63-D13</f>
        <v>8837</v>
      </c>
      <c r="E38" s="133">
        <f t="shared" si="37"/>
        <v>9202</v>
      </c>
      <c r="F38" s="133">
        <f t="shared" si="37"/>
        <v>9581</v>
      </c>
      <c r="G38" s="133">
        <f t="shared" si="37"/>
        <v>9976</v>
      </c>
      <c r="H38" s="133">
        <f t="shared" si="37"/>
        <v>10388</v>
      </c>
      <c r="I38" s="133">
        <f t="shared" si="37"/>
        <v>10816</v>
      </c>
      <c r="J38" s="133">
        <f t="shared" si="37"/>
        <v>11262</v>
      </c>
      <c r="K38" s="133">
        <f t="shared" si="37"/>
        <v>11727</v>
      </c>
      <c r="L38" s="133">
        <f t="shared" si="37"/>
        <v>12211</v>
      </c>
      <c r="M38" s="133">
        <f t="shared" si="37"/>
        <v>12714</v>
      </c>
      <c r="N38" s="133">
        <f t="shared" si="37"/>
        <v>13238</v>
      </c>
      <c r="O38" s="133">
        <f t="shared" si="37"/>
        <v>13784</v>
      </c>
      <c r="P38" s="133">
        <f t="shared" si="37"/>
        <v>14353</v>
      </c>
      <c r="Q38" s="133">
        <f t="shared" si="37"/>
        <v>14945</v>
      </c>
      <c r="R38" s="133">
        <f t="shared" si="37"/>
        <v>15562</v>
      </c>
      <c r="S38" s="133">
        <f t="shared" si="37"/>
        <v>16204</v>
      </c>
      <c r="T38" s="133">
        <f t="shared" si="37"/>
        <v>16872</v>
      </c>
      <c r="U38" s="133">
        <f t="shared" si="37"/>
        <v>17568</v>
      </c>
      <c r="V38" s="133">
        <f t="shared" ref="V38:AC38" si="38">+V63-V13</f>
        <v>18293</v>
      </c>
      <c r="W38" s="133">
        <f t="shared" si="38"/>
        <v>19048</v>
      </c>
      <c r="X38" s="133">
        <f t="shared" si="38"/>
        <v>19833</v>
      </c>
      <c r="Y38" s="133">
        <f t="shared" si="38"/>
        <v>20651</v>
      </c>
      <c r="Z38" s="133">
        <f t="shared" si="38"/>
        <v>21503</v>
      </c>
      <c r="AA38" s="133">
        <f t="shared" si="38"/>
        <v>22390</v>
      </c>
      <c r="AB38" s="133">
        <f t="shared" si="38"/>
        <v>23314</v>
      </c>
      <c r="AC38" s="133">
        <f t="shared" si="38"/>
        <v>24275</v>
      </c>
      <c r="AD38" s="133">
        <f t="shared" si="32"/>
        <v>25277</v>
      </c>
      <c r="AE38" s="133">
        <f t="shared" si="32"/>
        <v>26319</v>
      </c>
      <c r="AF38" s="133">
        <f t="shared" si="32"/>
        <v>27405</v>
      </c>
      <c r="AG38" s="133">
        <f t="shared" si="32"/>
        <v>28535</v>
      </c>
      <c r="AH38" s="133">
        <f t="shared" si="32"/>
        <v>29528</v>
      </c>
      <c r="AI38" s="133">
        <f t="shared" si="32"/>
        <v>0</v>
      </c>
      <c r="AJ38" s="133">
        <f t="shared" si="32"/>
        <v>0</v>
      </c>
    </row>
    <row r="39" spans="1:36" x14ac:dyDescent="0.2">
      <c r="A39" s="12"/>
      <c r="B39" s="18" t="s">
        <v>223</v>
      </c>
      <c r="C39" s="20">
        <f>SUM(C34:C38)</f>
        <v>78070</v>
      </c>
      <c r="D39" s="20">
        <f t="shared" ref="D39:U39" si="39">SUM(D34:D38)</f>
        <v>80178</v>
      </c>
      <c r="E39" s="20">
        <f t="shared" si="39"/>
        <v>82352</v>
      </c>
      <c r="F39" s="20">
        <f t="shared" si="39"/>
        <v>84588</v>
      </c>
      <c r="G39" s="20">
        <f t="shared" si="39"/>
        <v>88389</v>
      </c>
      <c r="H39" s="20">
        <f t="shared" si="39"/>
        <v>89796</v>
      </c>
      <c r="I39" s="20">
        <f t="shared" si="39"/>
        <v>91738</v>
      </c>
      <c r="J39" s="20">
        <f t="shared" si="39"/>
        <v>96733</v>
      </c>
      <c r="K39" s="20">
        <f t="shared" si="39"/>
        <v>98783</v>
      </c>
      <c r="L39" s="20">
        <f t="shared" si="39"/>
        <v>100886</v>
      </c>
      <c r="M39" s="20">
        <f t="shared" si="39"/>
        <v>103046</v>
      </c>
      <c r="N39" s="20">
        <f t="shared" si="39"/>
        <v>73003</v>
      </c>
      <c r="O39" s="20">
        <f t="shared" si="39"/>
        <v>74570</v>
      </c>
      <c r="P39" s="20">
        <f t="shared" si="39"/>
        <v>76185</v>
      </c>
      <c r="Q39" s="20">
        <f t="shared" si="39"/>
        <v>80848</v>
      </c>
      <c r="R39" s="20">
        <f t="shared" si="39"/>
        <v>82562</v>
      </c>
      <c r="S39" s="20">
        <f t="shared" si="39"/>
        <v>84328</v>
      </c>
      <c r="T39" s="20">
        <f t="shared" si="39"/>
        <v>86147</v>
      </c>
      <c r="U39" s="20">
        <f t="shared" si="39"/>
        <v>88023</v>
      </c>
      <c r="V39" s="20">
        <f t="shared" ref="V39:AJ39" si="40">SUM(V34:V38)</f>
        <v>89956</v>
      </c>
      <c r="W39" s="20">
        <f t="shared" si="40"/>
        <v>91949</v>
      </c>
      <c r="X39" s="20">
        <f t="shared" si="40"/>
        <v>97003</v>
      </c>
      <c r="Y39" s="20">
        <f t="shared" si="40"/>
        <v>44651</v>
      </c>
      <c r="Z39" s="20">
        <f t="shared" si="40"/>
        <v>45503</v>
      </c>
      <c r="AA39" s="20">
        <f t="shared" si="40"/>
        <v>46390</v>
      </c>
      <c r="AB39" s="20">
        <f t="shared" si="40"/>
        <v>47314</v>
      </c>
      <c r="AC39" s="20">
        <f t="shared" si="40"/>
        <v>51275</v>
      </c>
      <c r="AD39" s="20">
        <f t="shared" si="40"/>
        <v>52277</v>
      </c>
      <c r="AE39" s="20">
        <f t="shared" si="40"/>
        <v>53319</v>
      </c>
      <c r="AF39" s="20">
        <f t="shared" si="40"/>
        <v>27405</v>
      </c>
      <c r="AG39" s="20">
        <f t="shared" si="40"/>
        <v>28535</v>
      </c>
      <c r="AH39" s="20">
        <f t="shared" si="40"/>
        <v>29528</v>
      </c>
      <c r="AI39" s="20">
        <f t="shared" si="40"/>
        <v>0</v>
      </c>
      <c r="AJ39" s="20">
        <f t="shared" si="40"/>
        <v>0</v>
      </c>
    </row>
    <row r="40" spans="1:36" x14ac:dyDescent="0.2">
      <c r="A40" s="12"/>
      <c r="B40" s="13"/>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row>
    <row r="41" spans="1:36" x14ac:dyDescent="0.2">
      <c r="A41" s="12">
        <v>751</v>
      </c>
      <c r="B41" s="13" t="s">
        <v>224</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row>
    <row r="42" spans="1:36" x14ac:dyDescent="0.2">
      <c r="A42" s="12">
        <v>5930</v>
      </c>
      <c r="B42" s="69" t="s">
        <v>36</v>
      </c>
      <c r="C42" s="132">
        <f t="shared" ref="C42:C47" si="41">+C67-C17</f>
        <v>6611</v>
      </c>
      <c r="D42" s="132">
        <f t="shared" ref="D42:U42" si="42">+D67-D17</f>
        <v>6400</v>
      </c>
      <c r="E42" s="132">
        <f t="shared" si="42"/>
        <v>5456</v>
      </c>
      <c r="F42" s="132">
        <f t="shared" si="42"/>
        <v>4861</v>
      </c>
      <c r="G42" s="132">
        <f t="shared" si="42"/>
        <v>4255</v>
      </c>
      <c r="H42" s="132">
        <f t="shared" si="42"/>
        <v>3635</v>
      </c>
      <c r="I42" s="132">
        <f t="shared" si="42"/>
        <v>3004</v>
      </c>
      <c r="J42" s="132">
        <f t="shared" si="42"/>
        <v>2359</v>
      </c>
      <c r="K42" s="132">
        <f t="shared" si="42"/>
        <v>1701</v>
      </c>
      <c r="L42" s="132">
        <f t="shared" si="42"/>
        <v>1030</v>
      </c>
      <c r="M42" s="132">
        <f t="shared" si="42"/>
        <v>346</v>
      </c>
      <c r="N42" s="132">
        <f t="shared" si="42"/>
        <v>0</v>
      </c>
      <c r="O42" s="132">
        <f t="shared" si="42"/>
        <v>0</v>
      </c>
      <c r="P42" s="132">
        <f t="shared" si="42"/>
        <v>0</v>
      </c>
      <c r="Q42" s="132">
        <f t="shared" si="42"/>
        <v>0</v>
      </c>
      <c r="R42" s="132">
        <f t="shared" si="42"/>
        <v>0</v>
      </c>
      <c r="S42" s="132">
        <f t="shared" si="42"/>
        <v>0</v>
      </c>
      <c r="T42" s="132">
        <f t="shared" si="42"/>
        <v>0</v>
      </c>
      <c r="U42" s="132">
        <f t="shared" si="42"/>
        <v>0</v>
      </c>
      <c r="V42" s="132">
        <f t="shared" ref="V42:AC42" si="43">+V67-V17</f>
        <v>0</v>
      </c>
      <c r="W42" s="132">
        <f t="shared" si="43"/>
        <v>0</v>
      </c>
      <c r="X42" s="132">
        <f t="shared" si="43"/>
        <v>0</v>
      </c>
      <c r="Y42" s="132">
        <f t="shared" si="43"/>
        <v>0</v>
      </c>
      <c r="Z42" s="132">
        <f t="shared" si="43"/>
        <v>0</v>
      </c>
      <c r="AA42" s="132">
        <f t="shared" si="43"/>
        <v>0</v>
      </c>
      <c r="AB42" s="132">
        <f t="shared" si="43"/>
        <v>0</v>
      </c>
      <c r="AC42" s="132">
        <f t="shared" si="43"/>
        <v>0</v>
      </c>
      <c r="AD42" s="132">
        <f t="shared" ref="AD42:AJ47" si="44">+AD67-AD17</f>
        <v>0</v>
      </c>
      <c r="AE42" s="132">
        <f t="shared" si="44"/>
        <v>0</v>
      </c>
      <c r="AF42" s="132">
        <f t="shared" si="44"/>
        <v>0</v>
      </c>
      <c r="AG42" s="132">
        <f t="shared" si="44"/>
        <v>0</v>
      </c>
      <c r="AH42" s="132">
        <f t="shared" si="44"/>
        <v>0</v>
      </c>
      <c r="AI42" s="132">
        <f t="shared" si="44"/>
        <v>0</v>
      </c>
      <c r="AJ42" s="132">
        <f t="shared" si="44"/>
        <v>0</v>
      </c>
    </row>
    <row r="43" spans="1:36" x14ac:dyDescent="0.2">
      <c r="A43" s="12" t="s">
        <v>599</v>
      </c>
      <c r="B43" s="69" t="s">
        <v>39</v>
      </c>
      <c r="C43" s="132">
        <f t="shared" si="41"/>
        <v>490</v>
      </c>
      <c r="D43" s="132">
        <f t="shared" ref="D43:U43" si="45">+D68-D18</f>
        <v>453</v>
      </c>
      <c r="E43" s="132">
        <f t="shared" si="45"/>
        <v>410</v>
      </c>
      <c r="F43" s="132">
        <f t="shared" si="45"/>
        <v>365</v>
      </c>
      <c r="G43" s="132">
        <f t="shared" si="45"/>
        <v>319</v>
      </c>
      <c r="H43" s="132">
        <f t="shared" si="45"/>
        <v>273</v>
      </c>
      <c r="I43" s="132">
        <f t="shared" si="45"/>
        <v>226</v>
      </c>
      <c r="J43" s="132">
        <f t="shared" si="45"/>
        <v>177</v>
      </c>
      <c r="K43" s="132">
        <f t="shared" si="45"/>
        <v>128</v>
      </c>
      <c r="L43" s="132">
        <f t="shared" si="45"/>
        <v>77</v>
      </c>
      <c r="M43" s="132">
        <f t="shared" si="45"/>
        <v>266</v>
      </c>
      <c r="N43" s="132">
        <f t="shared" si="45"/>
        <v>0</v>
      </c>
      <c r="O43" s="132">
        <f t="shared" si="45"/>
        <v>0</v>
      </c>
      <c r="P43" s="132">
        <f t="shared" si="45"/>
        <v>0</v>
      </c>
      <c r="Q43" s="132">
        <f t="shared" si="45"/>
        <v>0</v>
      </c>
      <c r="R43" s="132">
        <f t="shared" si="45"/>
        <v>0</v>
      </c>
      <c r="S43" s="132">
        <f t="shared" si="45"/>
        <v>0</v>
      </c>
      <c r="T43" s="132">
        <f t="shared" si="45"/>
        <v>0</v>
      </c>
      <c r="U43" s="132">
        <f t="shared" si="45"/>
        <v>0</v>
      </c>
      <c r="V43" s="132">
        <f t="shared" ref="V43:AC43" si="46">+V68-V18</f>
        <v>0</v>
      </c>
      <c r="W43" s="132">
        <f t="shared" si="46"/>
        <v>0</v>
      </c>
      <c r="X43" s="132">
        <f t="shared" si="46"/>
        <v>0</v>
      </c>
      <c r="Y43" s="132">
        <f t="shared" si="46"/>
        <v>0</v>
      </c>
      <c r="Z43" s="132">
        <f t="shared" si="46"/>
        <v>0</v>
      </c>
      <c r="AA43" s="132">
        <f t="shared" si="46"/>
        <v>0</v>
      </c>
      <c r="AB43" s="132">
        <f t="shared" si="46"/>
        <v>0</v>
      </c>
      <c r="AC43" s="132">
        <f t="shared" si="46"/>
        <v>0</v>
      </c>
      <c r="AD43" s="132">
        <f t="shared" si="44"/>
        <v>0</v>
      </c>
      <c r="AE43" s="132">
        <f t="shared" si="44"/>
        <v>0</v>
      </c>
      <c r="AF43" s="132">
        <f t="shared" si="44"/>
        <v>0</v>
      </c>
      <c r="AG43" s="132">
        <f t="shared" si="44"/>
        <v>0</v>
      </c>
      <c r="AH43" s="132">
        <f t="shared" si="44"/>
        <v>0</v>
      </c>
      <c r="AI43" s="132">
        <f t="shared" si="44"/>
        <v>0</v>
      </c>
      <c r="AJ43" s="132">
        <f t="shared" si="44"/>
        <v>0</v>
      </c>
    </row>
    <row r="44" spans="1:36" x14ac:dyDescent="0.2">
      <c r="A44" s="12">
        <v>5931</v>
      </c>
      <c r="B44" s="69" t="s">
        <v>37</v>
      </c>
      <c r="C44" s="132">
        <f t="shared" si="41"/>
        <v>21787</v>
      </c>
      <c r="D44" s="132">
        <f t="shared" ref="D44:U44" si="47">+D69-D19</f>
        <v>21081</v>
      </c>
      <c r="E44" s="132">
        <f t="shared" si="47"/>
        <v>20202</v>
      </c>
      <c r="F44" s="132">
        <f t="shared" si="47"/>
        <v>19381</v>
      </c>
      <c r="G44" s="132">
        <f t="shared" si="47"/>
        <v>18540</v>
      </c>
      <c r="H44" s="132">
        <f t="shared" si="47"/>
        <v>17678</v>
      </c>
      <c r="I44" s="132">
        <f t="shared" si="47"/>
        <v>16795</v>
      </c>
      <c r="J44" s="132">
        <f t="shared" si="47"/>
        <v>15890</v>
      </c>
      <c r="K44" s="132">
        <f t="shared" si="47"/>
        <v>14964</v>
      </c>
      <c r="L44" s="132">
        <f t="shared" si="47"/>
        <v>14015</v>
      </c>
      <c r="M44" s="132">
        <f t="shared" si="47"/>
        <v>13042</v>
      </c>
      <c r="N44" s="132">
        <f t="shared" si="47"/>
        <v>12046.119999999999</v>
      </c>
      <c r="O44" s="132">
        <f t="shared" si="47"/>
        <v>11026</v>
      </c>
      <c r="P44" s="132">
        <f t="shared" si="47"/>
        <v>9980</v>
      </c>
      <c r="Q44" s="132">
        <f t="shared" si="47"/>
        <v>8909</v>
      </c>
      <c r="R44" s="132">
        <f t="shared" si="47"/>
        <v>7812</v>
      </c>
      <c r="S44" s="132">
        <f t="shared" si="47"/>
        <v>6688</v>
      </c>
      <c r="T44" s="132">
        <f t="shared" si="47"/>
        <v>5536</v>
      </c>
      <c r="U44" s="132">
        <f t="shared" si="47"/>
        <v>4357</v>
      </c>
      <c r="V44" s="132">
        <f t="shared" ref="V44:AC44" si="48">+V69-V19</f>
        <v>3148</v>
      </c>
      <c r="W44" s="132">
        <f t="shared" si="48"/>
        <v>1910</v>
      </c>
      <c r="X44" s="132">
        <f t="shared" si="48"/>
        <v>642</v>
      </c>
      <c r="Y44" s="132">
        <f t="shared" si="48"/>
        <v>0</v>
      </c>
      <c r="Z44" s="132">
        <f t="shared" si="48"/>
        <v>0</v>
      </c>
      <c r="AA44" s="132">
        <f t="shared" si="48"/>
        <v>0</v>
      </c>
      <c r="AB44" s="132">
        <f t="shared" si="48"/>
        <v>0</v>
      </c>
      <c r="AC44" s="132">
        <f t="shared" si="48"/>
        <v>0</v>
      </c>
      <c r="AD44" s="132">
        <f t="shared" si="44"/>
        <v>0</v>
      </c>
      <c r="AE44" s="132">
        <f t="shared" si="44"/>
        <v>0</v>
      </c>
      <c r="AF44" s="132">
        <f t="shared" si="44"/>
        <v>0</v>
      </c>
      <c r="AG44" s="132">
        <f t="shared" si="44"/>
        <v>0</v>
      </c>
      <c r="AH44" s="132">
        <f t="shared" si="44"/>
        <v>0</v>
      </c>
      <c r="AI44" s="132">
        <f t="shared" si="44"/>
        <v>0</v>
      </c>
      <c r="AJ44" s="132">
        <f t="shared" si="44"/>
        <v>0</v>
      </c>
    </row>
    <row r="45" spans="1:36" x14ac:dyDescent="0.2">
      <c r="A45" s="12" t="s">
        <v>600</v>
      </c>
      <c r="B45" s="69" t="s">
        <v>40</v>
      </c>
      <c r="C45" s="132">
        <f t="shared" si="41"/>
        <v>1354</v>
      </c>
      <c r="D45" s="132">
        <f t="shared" ref="D45:U45" si="49">+D70-D20</f>
        <v>1306</v>
      </c>
      <c r="E45" s="132">
        <f t="shared" si="49"/>
        <v>1256</v>
      </c>
      <c r="F45" s="132">
        <f t="shared" si="49"/>
        <v>1205</v>
      </c>
      <c r="G45" s="132">
        <f t="shared" si="49"/>
        <v>1152</v>
      </c>
      <c r="H45" s="132">
        <f t="shared" si="49"/>
        <v>1099</v>
      </c>
      <c r="I45" s="132">
        <f t="shared" si="49"/>
        <v>1044</v>
      </c>
      <c r="J45" s="132">
        <f t="shared" si="49"/>
        <v>988</v>
      </c>
      <c r="K45" s="132">
        <f t="shared" si="49"/>
        <v>870</v>
      </c>
      <c r="L45" s="132">
        <f t="shared" si="49"/>
        <v>871</v>
      </c>
      <c r="M45" s="132">
        <f t="shared" si="49"/>
        <v>811</v>
      </c>
      <c r="N45" s="132">
        <f t="shared" si="49"/>
        <v>749</v>
      </c>
      <c r="O45" s="132">
        <f t="shared" si="49"/>
        <v>685</v>
      </c>
      <c r="P45" s="132">
        <f t="shared" si="49"/>
        <v>620</v>
      </c>
      <c r="Q45" s="132">
        <f t="shared" si="49"/>
        <v>554</v>
      </c>
      <c r="R45" s="132">
        <f t="shared" si="49"/>
        <v>485</v>
      </c>
      <c r="S45" s="132">
        <f t="shared" si="49"/>
        <v>416</v>
      </c>
      <c r="T45" s="132">
        <f t="shared" si="49"/>
        <v>344</v>
      </c>
      <c r="U45" s="132">
        <f t="shared" si="49"/>
        <v>271</v>
      </c>
      <c r="V45" s="132">
        <f t="shared" ref="V45:AC45" si="50">+V70-V20</f>
        <v>196</v>
      </c>
      <c r="W45" s="132">
        <f t="shared" si="50"/>
        <v>119</v>
      </c>
      <c r="X45" s="132">
        <f t="shared" si="50"/>
        <v>40</v>
      </c>
      <c r="Y45" s="132">
        <f t="shared" si="50"/>
        <v>0</v>
      </c>
      <c r="Z45" s="132">
        <f t="shared" si="50"/>
        <v>0</v>
      </c>
      <c r="AA45" s="132">
        <f t="shared" si="50"/>
        <v>0</v>
      </c>
      <c r="AB45" s="132">
        <f t="shared" si="50"/>
        <v>0</v>
      </c>
      <c r="AC45" s="132">
        <f t="shared" si="50"/>
        <v>0</v>
      </c>
      <c r="AD45" s="132">
        <f t="shared" si="44"/>
        <v>0</v>
      </c>
      <c r="AE45" s="132">
        <f t="shared" si="44"/>
        <v>0</v>
      </c>
      <c r="AF45" s="132">
        <f t="shared" si="44"/>
        <v>0</v>
      </c>
      <c r="AG45" s="132">
        <f t="shared" si="44"/>
        <v>0</v>
      </c>
      <c r="AH45" s="132">
        <f t="shared" si="44"/>
        <v>0</v>
      </c>
      <c r="AI45" s="132">
        <f t="shared" si="44"/>
        <v>0</v>
      </c>
      <c r="AJ45" s="132">
        <f t="shared" si="44"/>
        <v>0</v>
      </c>
    </row>
    <row r="46" spans="1:36" x14ac:dyDescent="0.2">
      <c r="A46" s="12">
        <v>5932</v>
      </c>
      <c r="B46" s="69" t="s">
        <v>38</v>
      </c>
      <c r="C46" s="132">
        <f t="shared" si="41"/>
        <v>24194</v>
      </c>
      <c r="D46" s="132">
        <f t="shared" ref="D46:U46" si="51">+D71-D21</f>
        <v>23789</v>
      </c>
      <c r="E46" s="132">
        <f t="shared" si="51"/>
        <v>23366</v>
      </c>
      <c r="F46" s="132">
        <f t="shared" si="51"/>
        <v>22925</v>
      </c>
      <c r="G46" s="132">
        <f t="shared" si="51"/>
        <v>16148</v>
      </c>
      <c r="H46" s="132">
        <f t="shared" si="51"/>
        <v>15154</v>
      </c>
      <c r="I46" s="132">
        <f t="shared" si="51"/>
        <v>14554</v>
      </c>
      <c r="J46" s="132">
        <f t="shared" si="51"/>
        <v>13954</v>
      </c>
      <c r="K46" s="132">
        <f t="shared" si="51"/>
        <v>13204</v>
      </c>
      <c r="L46" s="132">
        <f t="shared" si="51"/>
        <v>12454</v>
      </c>
      <c r="M46" s="132">
        <f t="shared" si="51"/>
        <v>11704</v>
      </c>
      <c r="N46" s="132">
        <f t="shared" si="51"/>
        <v>10954</v>
      </c>
      <c r="O46" s="132">
        <f t="shared" si="51"/>
        <v>10054</v>
      </c>
      <c r="P46" s="132">
        <f t="shared" si="51"/>
        <v>9154</v>
      </c>
      <c r="Q46" s="132">
        <f t="shared" si="51"/>
        <v>8254</v>
      </c>
      <c r="R46" s="132">
        <f t="shared" si="51"/>
        <v>7834</v>
      </c>
      <c r="S46" s="132">
        <f t="shared" si="51"/>
        <v>7414</v>
      </c>
      <c r="T46" s="132">
        <f t="shared" si="51"/>
        <v>6994</v>
      </c>
      <c r="U46" s="132">
        <f t="shared" si="51"/>
        <v>6548</v>
      </c>
      <c r="V46" s="132">
        <f t="shared" ref="V46:AC46" si="52">+V71-V21</f>
        <v>6101</v>
      </c>
      <c r="W46" s="132">
        <f t="shared" si="52"/>
        <v>5629</v>
      </c>
      <c r="X46" s="132">
        <f t="shared" si="52"/>
        <v>5130</v>
      </c>
      <c r="Y46" s="132">
        <f t="shared" si="52"/>
        <v>4560</v>
      </c>
      <c r="Z46" s="132">
        <f t="shared" si="52"/>
        <v>3990</v>
      </c>
      <c r="AA46" s="132">
        <f t="shared" si="52"/>
        <v>3390</v>
      </c>
      <c r="AB46" s="132">
        <f t="shared" si="52"/>
        <v>2790</v>
      </c>
      <c r="AC46" s="132">
        <f t="shared" si="52"/>
        <v>2160</v>
      </c>
      <c r="AD46" s="132">
        <f t="shared" si="44"/>
        <v>1451</v>
      </c>
      <c r="AE46" s="132">
        <f t="shared" si="44"/>
        <v>743</v>
      </c>
      <c r="AF46" s="132">
        <f t="shared" si="44"/>
        <v>0</v>
      </c>
      <c r="AG46" s="132">
        <f t="shared" si="44"/>
        <v>0</v>
      </c>
      <c r="AH46" s="132">
        <f t="shared" si="44"/>
        <v>0</v>
      </c>
      <c r="AI46" s="132">
        <f t="shared" si="44"/>
        <v>0</v>
      </c>
      <c r="AJ46" s="132">
        <f t="shared" si="44"/>
        <v>0</v>
      </c>
    </row>
    <row r="47" spans="1:36" ht="13.5" thickBot="1" x14ac:dyDescent="0.25">
      <c r="A47" s="12">
        <v>5933</v>
      </c>
      <c r="B47" s="69" t="s">
        <v>341</v>
      </c>
      <c r="C47" s="133">
        <f t="shared" si="41"/>
        <v>22444</v>
      </c>
      <c r="D47" s="133">
        <f t="shared" ref="D47:U47" si="53">+D72-D22</f>
        <v>22094</v>
      </c>
      <c r="E47" s="133">
        <f t="shared" si="53"/>
        <v>21729</v>
      </c>
      <c r="F47" s="133">
        <f t="shared" si="53"/>
        <v>21350</v>
      </c>
      <c r="G47" s="133">
        <f t="shared" si="53"/>
        <v>20954</v>
      </c>
      <c r="H47" s="133">
        <f t="shared" si="53"/>
        <v>20543</v>
      </c>
      <c r="I47" s="133">
        <f t="shared" si="53"/>
        <v>20114</v>
      </c>
      <c r="J47" s="133">
        <f t="shared" si="53"/>
        <v>19669</v>
      </c>
      <c r="K47" s="133">
        <f t="shared" si="53"/>
        <v>19204</v>
      </c>
      <c r="L47" s="133">
        <f t="shared" si="53"/>
        <v>18720</v>
      </c>
      <c r="M47" s="133">
        <f t="shared" si="53"/>
        <v>18217</v>
      </c>
      <c r="N47" s="133">
        <f t="shared" si="53"/>
        <v>17692</v>
      </c>
      <c r="O47" s="133">
        <f t="shared" si="53"/>
        <v>17146</v>
      </c>
      <c r="P47" s="133">
        <f t="shared" si="53"/>
        <v>16577</v>
      </c>
      <c r="Q47" s="133">
        <f t="shared" si="53"/>
        <v>15985</v>
      </c>
      <c r="R47" s="133">
        <f t="shared" si="53"/>
        <v>15369</v>
      </c>
      <c r="S47" s="133">
        <f t="shared" si="53"/>
        <v>14727</v>
      </c>
      <c r="T47" s="133">
        <f t="shared" si="53"/>
        <v>14059</v>
      </c>
      <c r="U47" s="133">
        <f t="shared" si="53"/>
        <v>13363</v>
      </c>
      <c r="V47" s="133">
        <f t="shared" ref="V47:AC47" si="54">+V72-V22</f>
        <v>12638</v>
      </c>
      <c r="W47" s="133">
        <f t="shared" si="54"/>
        <v>11883</v>
      </c>
      <c r="X47" s="133">
        <f t="shared" si="54"/>
        <v>11098</v>
      </c>
      <c r="Y47" s="133">
        <f t="shared" si="54"/>
        <v>10280</v>
      </c>
      <c r="Z47" s="133">
        <f t="shared" si="54"/>
        <v>9428</v>
      </c>
      <c r="AA47" s="133">
        <f t="shared" si="54"/>
        <v>8540</v>
      </c>
      <c r="AB47" s="133">
        <f t="shared" si="54"/>
        <v>7617</v>
      </c>
      <c r="AC47" s="133">
        <f t="shared" si="54"/>
        <v>6655</v>
      </c>
      <c r="AD47" s="133">
        <f t="shared" si="44"/>
        <v>5654</v>
      </c>
      <c r="AE47" s="133">
        <f t="shared" si="44"/>
        <v>4612</v>
      </c>
      <c r="AF47" s="133">
        <f t="shared" si="44"/>
        <v>1726</v>
      </c>
      <c r="AG47" s="133">
        <f t="shared" si="44"/>
        <v>2395</v>
      </c>
      <c r="AH47" s="133">
        <f t="shared" si="44"/>
        <v>1218</v>
      </c>
      <c r="AI47" s="133">
        <f t="shared" si="44"/>
        <v>0</v>
      </c>
      <c r="AJ47" s="133">
        <f t="shared" si="44"/>
        <v>0</v>
      </c>
    </row>
    <row r="48" spans="1:36" x14ac:dyDescent="0.2">
      <c r="A48" s="12"/>
      <c r="B48" s="13"/>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row>
    <row r="49" spans="1:36" x14ac:dyDescent="0.2">
      <c r="A49" s="12"/>
      <c r="B49" s="18" t="s">
        <v>224</v>
      </c>
      <c r="C49" s="20">
        <f>SUM(C41:C48)</f>
        <v>76880</v>
      </c>
      <c r="D49" s="20">
        <f t="shared" ref="D49:U49" si="55">SUM(D41:D48)</f>
        <v>75123</v>
      </c>
      <c r="E49" s="20">
        <f t="shared" si="55"/>
        <v>72419</v>
      </c>
      <c r="F49" s="20">
        <f t="shared" si="55"/>
        <v>70087</v>
      </c>
      <c r="G49" s="20">
        <f t="shared" si="55"/>
        <v>61368</v>
      </c>
      <c r="H49" s="20">
        <f t="shared" si="55"/>
        <v>58382</v>
      </c>
      <c r="I49" s="20">
        <f t="shared" si="55"/>
        <v>55737</v>
      </c>
      <c r="J49" s="20">
        <f t="shared" si="55"/>
        <v>53037</v>
      </c>
      <c r="K49" s="20">
        <f t="shared" si="55"/>
        <v>50071</v>
      </c>
      <c r="L49" s="20">
        <f t="shared" si="55"/>
        <v>47167</v>
      </c>
      <c r="M49" s="20">
        <f t="shared" si="55"/>
        <v>44386</v>
      </c>
      <c r="N49" s="20">
        <f t="shared" si="55"/>
        <v>41441.119999999995</v>
      </c>
      <c r="O49" s="20">
        <f t="shared" si="55"/>
        <v>38911</v>
      </c>
      <c r="P49" s="20">
        <f t="shared" si="55"/>
        <v>36331</v>
      </c>
      <c r="Q49" s="20">
        <f t="shared" si="55"/>
        <v>33702</v>
      </c>
      <c r="R49" s="20">
        <f t="shared" si="55"/>
        <v>31500</v>
      </c>
      <c r="S49" s="20">
        <f t="shared" si="55"/>
        <v>29245</v>
      </c>
      <c r="T49" s="20">
        <f t="shared" si="55"/>
        <v>26933</v>
      </c>
      <c r="U49" s="20">
        <f t="shared" si="55"/>
        <v>24539</v>
      </c>
      <c r="V49" s="20">
        <f t="shared" ref="V49:AJ49" si="56">SUM(V41:V48)</f>
        <v>22083</v>
      </c>
      <c r="W49" s="20">
        <f t="shared" si="56"/>
        <v>19541</v>
      </c>
      <c r="X49" s="20">
        <f t="shared" si="56"/>
        <v>16910</v>
      </c>
      <c r="Y49" s="20">
        <f t="shared" si="56"/>
        <v>14840</v>
      </c>
      <c r="Z49" s="20">
        <f t="shared" si="56"/>
        <v>13418</v>
      </c>
      <c r="AA49" s="20">
        <f t="shared" si="56"/>
        <v>11930</v>
      </c>
      <c r="AB49" s="20">
        <f t="shared" si="56"/>
        <v>10407</v>
      </c>
      <c r="AC49" s="20">
        <f t="shared" si="56"/>
        <v>8815</v>
      </c>
      <c r="AD49" s="20">
        <f t="shared" si="56"/>
        <v>7105</v>
      </c>
      <c r="AE49" s="20">
        <f t="shared" si="56"/>
        <v>5355</v>
      </c>
      <c r="AF49" s="20">
        <f t="shared" si="56"/>
        <v>1726</v>
      </c>
      <c r="AG49" s="20">
        <f t="shared" si="56"/>
        <v>2395</v>
      </c>
      <c r="AH49" s="20">
        <f t="shared" si="56"/>
        <v>1218</v>
      </c>
      <c r="AI49" s="20">
        <f t="shared" si="56"/>
        <v>0</v>
      </c>
      <c r="AJ49" s="20">
        <f t="shared" si="56"/>
        <v>0</v>
      </c>
    </row>
    <row r="50" spans="1:36" x14ac:dyDescent="0.2">
      <c r="A50" s="12"/>
      <c r="B50" s="13"/>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row>
    <row r="51" spans="1:36" x14ac:dyDescent="0.2">
      <c r="A51" s="12"/>
      <c r="B51" s="13" t="s">
        <v>895</v>
      </c>
      <c r="C51" s="15">
        <f>+C49+C39</f>
        <v>154950</v>
      </c>
      <c r="D51" s="15">
        <f t="shared" ref="D51:U51" si="57">+D49+D39</f>
        <v>155301</v>
      </c>
      <c r="E51" s="15">
        <f t="shared" si="57"/>
        <v>154771</v>
      </c>
      <c r="F51" s="15">
        <f t="shared" si="57"/>
        <v>154675</v>
      </c>
      <c r="G51" s="15">
        <f t="shared" si="57"/>
        <v>149757</v>
      </c>
      <c r="H51" s="15">
        <f t="shared" si="57"/>
        <v>148178</v>
      </c>
      <c r="I51" s="15">
        <f t="shared" si="57"/>
        <v>147475</v>
      </c>
      <c r="J51" s="15">
        <f t="shared" si="57"/>
        <v>149770</v>
      </c>
      <c r="K51" s="15">
        <f t="shared" si="57"/>
        <v>148854</v>
      </c>
      <c r="L51" s="15">
        <f t="shared" si="57"/>
        <v>148053</v>
      </c>
      <c r="M51" s="15">
        <f t="shared" si="57"/>
        <v>147432</v>
      </c>
      <c r="N51" s="15">
        <f t="shared" si="57"/>
        <v>114444.12</v>
      </c>
      <c r="O51" s="15">
        <f t="shared" si="57"/>
        <v>113481</v>
      </c>
      <c r="P51" s="15">
        <f t="shared" si="57"/>
        <v>112516</v>
      </c>
      <c r="Q51" s="15">
        <f t="shared" si="57"/>
        <v>114550</v>
      </c>
      <c r="R51" s="15">
        <f t="shared" si="57"/>
        <v>114062</v>
      </c>
      <c r="S51" s="15">
        <f t="shared" si="57"/>
        <v>113573</v>
      </c>
      <c r="T51" s="15">
        <f t="shared" si="57"/>
        <v>113080</v>
      </c>
      <c r="U51" s="15">
        <f t="shared" si="57"/>
        <v>112562</v>
      </c>
      <c r="V51" s="15">
        <f t="shared" ref="V51:AC51" si="58">+V49+V39</f>
        <v>112039</v>
      </c>
      <c r="W51" s="15">
        <f t="shared" si="58"/>
        <v>111490</v>
      </c>
      <c r="X51" s="15">
        <f t="shared" si="58"/>
        <v>113913</v>
      </c>
      <c r="Y51" s="15">
        <f t="shared" si="58"/>
        <v>59491</v>
      </c>
      <c r="Z51" s="15">
        <f t="shared" si="58"/>
        <v>58921</v>
      </c>
      <c r="AA51" s="15">
        <f t="shared" si="58"/>
        <v>58320</v>
      </c>
      <c r="AB51" s="15">
        <f t="shared" si="58"/>
        <v>57721</v>
      </c>
      <c r="AC51" s="15">
        <f t="shared" si="58"/>
        <v>60090</v>
      </c>
      <c r="AD51" s="15">
        <f t="shared" ref="AD51:AJ51" si="59">+AD49+AD39</f>
        <v>59382</v>
      </c>
      <c r="AE51" s="15">
        <f t="shared" si="59"/>
        <v>58674</v>
      </c>
      <c r="AF51" s="15">
        <f t="shared" si="59"/>
        <v>29131</v>
      </c>
      <c r="AG51" s="15">
        <f t="shared" si="59"/>
        <v>30930</v>
      </c>
      <c r="AH51" s="15">
        <f t="shared" si="59"/>
        <v>30746</v>
      </c>
      <c r="AI51" s="15">
        <f t="shared" si="59"/>
        <v>0</v>
      </c>
      <c r="AJ51" s="15">
        <f t="shared" si="59"/>
        <v>0</v>
      </c>
    </row>
    <row r="52" spans="1:36" x14ac:dyDescent="0.2">
      <c r="A52" s="28"/>
      <c r="B52" s="28"/>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row>
    <row r="53" spans="1:36" ht="13.5" thickBot="1" x14ac:dyDescent="0.25"/>
    <row r="54" spans="1:36" ht="13.5" thickTop="1" x14ac:dyDescent="0.2">
      <c r="A54" s="5"/>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row>
    <row r="55" spans="1:36" x14ac:dyDescent="0.2">
      <c r="A55" s="93"/>
      <c r="B55" s="90" t="s">
        <v>891</v>
      </c>
      <c r="C55" s="51" t="s">
        <v>881</v>
      </c>
      <c r="D55" s="51" t="s">
        <v>897</v>
      </c>
      <c r="E55" s="51" t="s">
        <v>898</v>
      </c>
      <c r="F55" s="51" t="s">
        <v>899</v>
      </c>
      <c r="G55" s="51" t="s">
        <v>900</v>
      </c>
      <c r="H55" s="51" t="s">
        <v>901</v>
      </c>
      <c r="I55" s="51" t="s">
        <v>902</v>
      </c>
      <c r="J55" s="51" t="s">
        <v>903</v>
      </c>
      <c r="K55" s="51" t="s">
        <v>904</v>
      </c>
      <c r="L55" s="51" t="s">
        <v>905</v>
      </c>
      <c r="M55" s="51" t="s">
        <v>906</v>
      </c>
      <c r="N55" s="51" t="s">
        <v>907</v>
      </c>
      <c r="O55" s="51" t="s">
        <v>908</v>
      </c>
      <c r="P55" s="51" t="s">
        <v>909</v>
      </c>
      <c r="Q55" s="51" t="s">
        <v>910</v>
      </c>
      <c r="R55" s="51" t="s">
        <v>911</v>
      </c>
      <c r="S55" s="51" t="s">
        <v>912</v>
      </c>
      <c r="T55" s="51" t="s">
        <v>913</v>
      </c>
      <c r="U55" s="51" t="s">
        <v>914</v>
      </c>
      <c r="V55" s="51" t="s">
        <v>915</v>
      </c>
      <c r="W55" s="51" t="s">
        <v>916</v>
      </c>
      <c r="X55" s="51" t="s">
        <v>917</v>
      </c>
      <c r="Y55" s="51" t="s">
        <v>918</v>
      </c>
      <c r="Z55" s="51" t="s">
        <v>919</v>
      </c>
      <c r="AA55" s="51" t="s">
        <v>920</v>
      </c>
      <c r="AB55" s="51" t="s">
        <v>921</v>
      </c>
      <c r="AC55" s="51" t="s">
        <v>922</v>
      </c>
      <c r="AD55" s="51" t="s">
        <v>923</v>
      </c>
      <c r="AE55" s="51" t="s">
        <v>924</v>
      </c>
      <c r="AF55" s="51" t="s">
        <v>925</v>
      </c>
      <c r="AG55" s="51" t="s">
        <v>926</v>
      </c>
      <c r="AH55" s="51" t="s">
        <v>927</v>
      </c>
      <c r="AI55" s="51" t="s">
        <v>928</v>
      </c>
      <c r="AJ55" s="51" t="s">
        <v>929</v>
      </c>
    </row>
    <row r="56" spans="1:36" x14ac:dyDescent="0.2">
      <c r="A56" s="93"/>
      <c r="B56" s="9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row>
    <row r="57" spans="1:36" ht="13.5" thickBot="1" x14ac:dyDescent="0.25">
      <c r="A57" s="8" t="s">
        <v>123</v>
      </c>
      <c r="B57" s="8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row>
    <row r="58" spans="1:36" ht="13.5" thickTop="1" x14ac:dyDescent="0.2">
      <c r="A58" s="30"/>
      <c r="B58" s="31"/>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row>
    <row r="59" spans="1:36" x14ac:dyDescent="0.2">
      <c r="A59" s="12">
        <v>710</v>
      </c>
      <c r="B59" s="13" t="s">
        <v>223</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row>
    <row r="60" spans="1:36" x14ac:dyDescent="0.2">
      <c r="A60" s="12">
        <v>5930</v>
      </c>
      <c r="B60" s="117" t="s">
        <v>36</v>
      </c>
      <c r="C60" s="132">
        <v>47163</v>
      </c>
      <c r="D60" s="132">
        <v>48115</v>
      </c>
      <c r="E60" s="132">
        <v>49087</v>
      </c>
      <c r="F60" s="132">
        <v>50079</v>
      </c>
      <c r="G60" s="132">
        <v>51901</v>
      </c>
      <c r="H60" s="132">
        <v>52123</v>
      </c>
      <c r="I60" s="132">
        <v>53176</v>
      </c>
      <c r="J60" s="132">
        <v>54250</v>
      </c>
      <c r="K60" s="132">
        <v>55346</v>
      </c>
      <c r="L60" s="132">
        <v>56464</v>
      </c>
      <c r="M60" s="132">
        <v>57605</v>
      </c>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row>
    <row r="61" spans="1:36" x14ac:dyDescent="0.2">
      <c r="A61" s="12">
        <v>5931</v>
      </c>
      <c r="B61" s="69" t="s">
        <v>37</v>
      </c>
      <c r="C61" s="132">
        <v>53375</v>
      </c>
      <c r="D61" s="132">
        <v>54679</v>
      </c>
      <c r="E61" s="132">
        <v>56016</v>
      </c>
      <c r="F61" s="132">
        <v>57384</v>
      </c>
      <c r="G61" s="132">
        <v>58786</v>
      </c>
      <c r="H61" s="132">
        <v>60223</v>
      </c>
      <c r="I61" s="132">
        <v>61694</v>
      </c>
      <c r="J61" s="132">
        <v>63202</v>
      </c>
      <c r="K61" s="132">
        <v>64746</v>
      </c>
      <c r="L61" s="132">
        <v>66328</v>
      </c>
      <c r="M61" s="132">
        <v>67949</v>
      </c>
      <c r="N61" s="132">
        <v>69609</v>
      </c>
      <c r="O61" s="132">
        <v>71310</v>
      </c>
      <c r="P61" s="132">
        <v>73053</v>
      </c>
      <c r="Q61" s="132">
        <v>74838</v>
      </c>
      <c r="R61" s="132">
        <v>76667</v>
      </c>
      <c r="S61" s="132">
        <v>78540</v>
      </c>
      <c r="T61" s="132">
        <v>80459</v>
      </c>
      <c r="U61" s="132">
        <v>82425</v>
      </c>
      <c r="V61" s="132">
        <v>84439</v>
      </c>
      <c r="W61" s="132">
        <v>86502</v>
      </c>
      <c r="X61" s="132">
        <v>88616</v>
      </c>
      <c r="Y61" s="132"/>
      <c r="Z61" s="132"/>
      <c r="AA61" s="132"/>
      <c r="AB61" s="132"/>
      <c r="AC61" s="132"/>
      <c r="AD61" s="132"/>
      <c r="AE61" s="132"/>
      <c r="AF61" s="132"/>
      <c r="AG61" s="132"/>
      <c r="AH61" s="132"/>
      <c r="AI61" s="132"/>
      <c r="AJ61" s="132"/>
    </row>
    <row r="62" spans="1:36" s="467" customFormat="1" x14ac:dyDescent="0.2">
      <c r="A62" s="857">
        <v>5932</v>
      </c>
      <c r="B62" s="846" t="s">
        <v>38</v>
      </c>
      <c r="C62" s="840">
        <v>15434</v>
      </c>
      <c r="D62" s="840">
        <v>16109</v>
      </c>
      <c r="E62" s="840">
        <v>16814</v>
      </c>
      <c r="F62" s="840">
        <v>17550</v>
      </c>
      <c r="G62" s="840">
        <v>20000</v>
      </c>
      <c r="H62" s="840">
        <v>20000</v>
      </c>
      <c r="I62" s="840">
        <v>20000</v>
      </c>
      <c r="J62" s="840">
        <v>25000</v>
      </c>
      <c r="K62" s="840">
        <v>25000</v>
      </c>
      <c r="L62" s="840">
        <v>25000</v>
      </c>
      <c r="M62" s="840">
        <v>25000</v>
      </c>
      <c r="N62" s="840">
        <v>30000</v>
      </c>
      <c r="O62" s="840">
        <v>30000</v>
      </c>
      <c r="P62" s="840">
        <v>30000</v>
      </c>
      <c r="Q62" s="840">
        <v>35000</v>
      </c>
      <c r="R62" s="840">
        <v>35000</v>
      </c>
      <c r="S62" s="840">
        <v>35000</v>
      </c>
      <c r="T62" s="840">
        <v>35000</v>
      </c>
      <c r="U62" s="840">
        <v>35000</v>
      </c>
      <c r="V62" s="840">
        <v>35000</v>
      </c>
      <c r="W62" s="840">
        <v>35000</v>
      </c>
      <c r="X62" s="840">
        <v>40000</v>
      </c>
      <c r="Y62" s="840">
        <v>40000</v>
      </c>
      <c r="Z62" s="840">
        <v>40000</v>
      </c>
      <c r="AA62" s="840">
        <v>40000</v>
      </c>
      <c r="AB62" s="840">
        <v>40000</v>
      </c>
      <c r="AC62" s="840">
        <v>45000</v>
      </c>
      <c r="AD62" s="840">
        <v>45000</v>
      </c>
      <c r="AE62" s="840">
        <v>45000</v>
      </c>
      <c r="AF62" s="840"/>
      <c r="AG62" s="840"/>
      <c r="AH62" s="840"/>
      <c r="AI62" s="840"/>
      <c r="AJ62" s="840"/>
    </row>
    <row r="63" spans="1:36" ht="13.5" thickBot="1" x14ac:dyDescent="0.25">
      <c r="A63" s="12">
        <v>5933</v>
      </c>
      <c r="B63" s="69" t="s">
        <v>341</v>
      </c>
      <c r="C63" s="133">
        <v>14145</v>
      </c>
      <c r="D63" s="133">
        <v>14728</v>
      </c>
      <c r="E63" s="133">
        <v>15336</v>
      </c>
      <c r="F63" s="133">
        <v>15968</v>
      </c>
      <c r="G63" s="133">
        <v>16627</v>
      </c>
      <c r="H63" s="133">
        <v>17313</v>
      </c>
      <c r="I63" s="133">
        <v>18027</v>
      </c>
      <c r="J63" s="133">
        <v>18770</v>
      </c>
      <c r="K63" s="133">
        <v>19545</v>
      </c>
      <c r="L63" s="133">
        <v>20351</v>
      </c>
      <c r="M63" s="133">
        <v>21190</v>
      </c>
      <c r="N63" s="133">
        <v>22064</v>
      </c>
      <c r="O63" s="133">
        <v>22974</v>
      </c>
      <c r="P63" s="133">
        <v>23922</v>
      </c>
      <c r="Q63" s="133">
        <v>24909</v>
      </c>
      <c r="R63" s="133">
        <v>25936</v>
      </c>
      <c r="S63" s="133">
        <v>27006</v>
      </c>
      <c r="T63" s="133">
        <v>28120</v>
      </c>
      <c r="U63" s="133">
        <v>29280</v>
      </c>
      <c r="V63" s="133">
        <v>30488</v>
      </c>
      <c r="W63" s="133">
        <v>31746</v>
      </c>
      <c r="X63" s="133">
        <v>33055</v>
      </c>
      <c r="Y63" s="133">
        <v>34418</v>
      </c>
      <c r="Z63" s="133">
        <v>35838</v>
      </c>
      <c r="AA63" s="133">
        <v>37317</v>
      </c>
      <c r="AB63" s="133">
        <v>38856</v>
      </c>
      <c r="AC63" s="133">
        <v>40459</v>
      </c>
      <c r="AD63" s="133">
        <v>42128</v>
      </c>
      <c r="AE63" s="133">
        <v>43865</v>
      </c>
      <c r="AF63" s="133">
        <v>45675</v>
      </c>
      <c r="AG63" s="133">
        <v>47559</v>
      </c>
      <c r="AH63" s="133">
        <v>49213</v>
      </c>
      <c r="AI63" s="133"/>
      <c r="AJ63" s="133"/>
    </row>
    <row r="64" spans="1:36" x14ac:dyDescent="0.2">
      <c r="A64" s="12"/>
      <c r="B64" s="18" t="s">
        <v>223</v>
      </c>
      <c r="C64" s="20">
        <f>SUM(C59:C63)</f>
        <v>130117</v>
      </c>
      <c r="D64" s="20">
        <f t="shared" ref="D64:U64" si="60">SUM(D59:D63)</f>
        <v>133631</v>
      </c>
      <c r="E64" s="20">
        <f t="shared" si="60"/>
        <v>137253</v>
      </c>
      <c r="F64" s="20">
        <f t="shared" si="60"/>
        <v>140981</v>
      </c>
      <c r="G64" s="20">
        <f t="shared" si="60"/>
        <v>147314</v>
      </c>
      <c r="H64" s="20">
        <f t="shared" si="60"/>
        <v>149659</v>
      </c>
      <c r="I64" s="20">
        <f t="shared" si="60"/>
        <v>152897</v>
      </c>
      <c r="J64" s="20">
        <f t="shared" si="60"/>
        <v>161222</v>
      </c>
      <c r="K64" s="20">
        <f t="shared" si="60"/>
        <v>164637</v>
      </c>
      <c r="L64" s="20">
        <f t="shared" si="60"/>
        <v>168143</v>
      </c>
      <c r="M64" s="20">
        <f t="shared" si="60"/>
        <v>171744</v>
      </c>
      <c r="N64" s="20">
        <f t="shared" si="60"/>
        <v>121673</v>
      </c>
      <c r="O64" s="20">
        <f t="shared" si="60"/>
        <v>124284</v>
      </c>
      <c r="P64" s="20">
        <f t="shared" si="60"/>
        <v>126975</v>
      </c>
      <c r="Q64" s="20">
        <f t="shared" si="60"/>
        <v>134747</v>
      </c>
      <c r="R64" s="20">
        <f t="shared" si="60"/>
        <v>137603</v>
      </c>
      <c r="S64" s="20">
        <f t="shared" si="60"/>
        <v>140546</v>
      </c>
      <c r="T64" s="20">
        <f t="shared" si="60"/>
        <v>143579</v>
      </c>
      <c r="U64" s="20">
        <f t="shared" si="60"/>
        <v>146705</v>
      </c>
      <c r="V64" s="20">
        <f t="shared" ref="V64:AJ64" si="61">SUM(V59:V63)</f>
        <v>149927</v>
      </c>
      <c r="W64" s="20">
        <f t="shared" si="61"/>
        <v>153248</v>
      </c>
      <c r="X64" s="20">
        <f t="shared" si="61"/>
        <v>161671</v>
      </c>
      <c r="Y64" s="20">
        <f t="shared" si="61"/>
        <v>74418</v>
      </c>
      <c r="Z64" s="20">
        <f t="shared" si="61"/>
        <v>75838</v>
      </c>
      <c r="AA64" s="20">
        <f t="shared" si="61"/>
        <v>77317</v>
      </c>
      <c r="AB64" s="20">
        <f t="shared" si="61"/>
        <v>78856</v>
      </c>
      <c r="AC64" s="20">
        <f t="shared" si="61"/>
        <v>85459</v>
      </c>
      <c r="AD64" s="20">
        <f t="shared" si="61"/>
        <v>87128</v>
      </c>
      <c r="AE64" s="20">
        <f t="shared" si="61"/>
        <v>88865</v>
      </c>
      <c r="AF64" s="20">
        <f t="shared" si="61"/>
        <v>45675</v>
      </c>
      <c r="AG64" s="20">
        <f t="shared" si="61"/>
        <v>47559</v>
      </c>
      <c r="AH64" s="20">
        <f t="shared" si="61"/>
        <v>49213</v>
      </c>
      <c r="AI64" s="20">
        <f t="shared" si="61"/>
        <v>0</v>
      </c>
      <c r="AJ64" s="20">
        <f t="shared" si="61"/>
        <v>0</v>
      </c>
    </row>
    <row r="65" spans="1:36" x14ac:dyDescent="0.2">
      <c r="A65" s="12"/>
      <c r="B65" s="13"/>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row>
    <row r="66" spans="1:36" x14ac:dyDescent="0.2">
      <c r="A66" s="12">
        <v>751</v>
      </c>
      <c r="B66" s="13" t="s">
        <v>224</v>
      </c>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row>
    <row r="67" spans="1:36" x14ac:dyDescent="0.2">
      <c r="A67" s="12">
        <v>5930</v>
      </c>
      <c r="B67" s="69" t="s">
        <v>36</v>
      </c>
      <c r="C67" s="132">
        <v>11019</v>
      </c>
      <c r="D67" s="132">
        <v>10666</v>
      </c>
      <c r="E67" s="132">
        <v>9094</v>
      </c>
      <c r="F67" s="132">
        <v>8102</v>
      </c>
      <c r="G67" s="132">
        <v>7091</v>
      </c>
      <c r="H67" s="132">
        <v>6059</v>
      </c>
      <c r="I67" s="132">
        <v>5006</v>
      </c>
      <c r="J67" s="132">
        <v>3931</v>
      </c>
      <c r="K67" s="132">
        <v>2835</v>
      </c>
      <c r="L67" s="132">
        <v>1717</v>
      </c>
      <c r="M67" s="132">
        <v>577</v>
      </c>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row>
    <row r="68" spans="1:36" x14ac:dyDescent="0.2">
      <c r="A68" s="12" t="s">
        <v>599</v>
      </c>
      <c r="B68" s="69" t="s">
        <v>39</v>
      </c>
      <c r="C68" s="132">
        <v>817</v>
      </c>
      <c r="D68" s="132">
        <v>755</v>
      </c>
      <c r="E68" s="132">
        <v>683</v>
      </c>
      <c r="F68" s="132">
        <v>608</v>
      </c>
      <c r="G68" s="132">
        <v>532</v>
      </c>
      <c r="H68" s="132">
        <v>455</v>
      </c>
      <c r="I68" s="132">
        <v>376</v>
      </c>
      <c r="J68" s="132">
        <v>295</v>
      </c>
      <c r="K68" s="132">
        <v>213</v>
      </c>
      <c r="L68" s="132">
        <v>129</v>
      </c>
      <c r="M68" s="132">
        <v>444</v>
      </c>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row>
    <row r="69" spans="1:36" x14ac:dyDescent="0.2">
      <c r="A69" s="12">
        <v>5931</v>
      </c>
      <c r="B69" s="69" t="s">
        <v>37</v>
      </c>
      <c r="C69" s="132">
        <v>36311</v>
      </c>
      <c r="D69" s="132">
        <v>35135</v>
      </c>
      <c r="E69" s="132">
        <v>33670</v>
      </c>
      <c r="F69" s="132">
        <v>32302</v>
      </c>
      <c r="G69" s="132">
        <v>30900</v>
      </c>
      <c r="H69" s="132">
        <v>29463</v>
      </c>
      <c r="I69" s="132">
        <v>27992</v>
      </c>
      <c r="J69" s="132">
        <v>26484</v>
      </c>
      <c r="K69" s="132">
        <v>24940</v>
      </c>
      <c r="L69" s="132">
        <v>23358</v>
      </c>
      <c r="M69" s="132">
        <v>21737</v>
      </c>
      <c r="N69" s="132">
        <v>20076.12</v>
      </c>
      <c r="O69" s="132">
        <v>18376</v>
      </c>
      <c r="P69" s="132">
        <v>16633</v>
      </c>
      <c r="Q69" s="132">
        <v>14848</v>
      </c>
      <c r="R69" s="132">
        <v>13020</v>
      </c>
      <c r="S69" s="132">
        <v>11146</v>
      </c>
      <c r="T69" s="132">
        <v>9227</v>
      </c>
      <c r="U69" s="132">
        <v>7261</v>
      </c>
      <c r="V69" s="132">
        <v>5247</v>
      </c>
      <c r="W69" s="132">
        <v>3184</v>
      </c>
      <c r="X69" s="132">
        <v>1070</v>
      </c>
      <c r="Y69" s="132"/>
      <c r="Z69" s="132"/>
      <c r="AA69" s="132"/>
      <c r="AB69" s="132"/>
      <c r="AC69" s="132"/>
      <c r="AD69" s="132"/>
      <c r="AE69" s="132"/>
      <c r="AF69" s="132"/>
      <c r="AG69" s="132"/>
      <c r="AH69" s="132"/>
      <c r="AI69" s="132"/>
      <c r="AJ69" s="132"/>
    </row>
    <row r="70" spans="1:36" x14ac:dyDescent="0.2">
      <c r="A70" s="12" t="s">
        <v>600</v>
      </c>
      <c r="B70" s="69" t="s">
        <v>40</v>
      </c>
      <c r="C70" s="132">
        <v>2257</v>
      </c>
      <c r="D70" s="132">
        <v>2176</v>
      </c>
      <c r="E70" s="132">
        <v>2093</v>
      </c>
      <c r="F70" s="132">
        <v>2008</v>
      </c>
      <c r="G70" s="132">
        <v>1920</v>
      </c>
      <c r="H70" s="132">
        <v>1831</v>
      </c>
      <c r="I70" s="132">
        <v>1740</v>
      </c>
      <c r="J70" s="132">
        <v>1646</v>
      </c>
      <c r="K70" s="132">
        <v>1450</v>
      </c>
      <c r="L70" s="132">
        <v>1452</v>
      </c>
      <c r="M70" s="132">
        <v>1351</v>
      </c>
      <c r="N70" s="132">
        <v>1248</v>
      </c>
      <c r="O70" s="132">
        <v>1142</v>
      </c>
      <c r="P70" s="132">
        <v>1034</v>
      </c>
      <c r="Q70" s="132">
        <v>923</v>
      </c>
      <c r="R70" s="132">
        <v>809</v>
      </c>
      <c r="S70" s="132">
        <v>693</v>
      </c>
      <c r="T70" s="132">
        <v>574</v>
      </c>
      <c r="U70" s="132">
        <v>452</v>
      </c>
      <c r="V70" s="132">
        <v>327</v>
      </c>
      <c r="W70" s="132">
        <v>198</v>
      </c>
      <c r="X70" s="132">
        <v>67</v>
      </c>
      <c r="Y70" s="132"/>
      <c r="Z70" s="132"/>
      <c r="AA70" s="132"/>
      <c r="AB70" s="132"/>
      <c r="AC70" s="132"/>
      <c r="AD70" s="132"/>
      <c r="AE70" s="132"/>
      <c r="AF70" s="132"/>
      <c r="AG70" s="132"/>
      <c r="AH70" s="132"/>
      <c r="AI70" s="132"/>
      <c r="AJ70" s="132"/>
    </row>
    <row r="71" spans="1:36" s="467" customFormat="1" x14ac:dyDescent="0.2">
      <c r="A71" s="857">
        <v>5932</v>
      </c>
      <c r="B71" s="846" t="s">
        <v>38</v>
      </c>
      <c r="C71" s="840">
        <v>40324</v>
      </c>
      <c r="D71" s="840">
        <v>39649</v>
      </c>
      <c r="E71" s="840">
        <v>38944</v>
      </c>
      <c r="F71" s="840">
        <v>38208</v>
      </c>
      <c r="G71" s="840">
        <v>26913</v>
      </c>
      <c r="H71" s="840">
        <v>25257</v>
      </c>
      <c r="I71" s="840">
        <v>24257</v>
      </c>
      <c r="J71" s="840">
        <v>23257</v>
      </c>
      <c r="K71" s="840">
        <v>22007</v>
      </c>
      <c r="L71" s="840">
        <v>20757</v>
      </c>
      <c r="M71" s="840">
        <v>19507</v>
      </c>
      <c r="N71" s="840">
        <v>18257</v>
      </c>
      <c r="O71" s="840">
        <v>16757</v>
      </c>
      <c r="P71" s="840">
        <v>15257</v>
      </c>
      <c r="Q71" s="840">
        <v>13757</v>
      </c>
      <c r="R71" s="840">
        <v>13057</v>
      </c>
      <c r="S71" s="840">
        <v>12357</v>
      </c>
      <c r="T71" s="840">
        <v>11657</v>
      </c>
      <c r="U71" s="840">
        <v>10913</v>
      </c>
      <c r="V71" s="840">
        <v>10169</v>
      </c>
      <c r="W71" s="840">
        <v>9382</v>
      </c>
      <c r="X71" s="840">
        <v>8550</v>
      </c>
      <c r="Y71" s="840">
        <v>7600</v>
      </c>
      <c r="Z71" s="840">
        <v>6650</v>
      </c>
      <c r="AA71" s="840">
        <v>5650</v>
      </c>
      <c r="AB71" s="840">
        <v>4650</v>
      </c>
      <c r="AC71" s="840">
        <v>3600</v>
      </c>
      <c r="AD71" s="840">
        <v>2419</v>
      </c>
      <c r="AE71" s="840">
        <v>1238</v>
      </c>
      <c r="AF71" s="840"/>
      <c r="AG71" s="840"/>
      <c r="AH71" s="840"/>
      <c r="AI71" s="840"/>
      <c r="AJ71" s="840"/>
    </row>
    <row r="72" spans="1:36" ht="13.5" thickBot="1" x14ac:dyDescent="0.25">
      <c r="A72" s="12">
        <v>5933</v>
      </c>
      <c r="B72" s="69" t="s">
        <v>341</v>
      </c>
      <c r="C72" s="133">
        <v>37406</v>
      </c>
      <c r="D72" s="133">
        <v>36823</v>
      </c>
      <c r="E72" s="133">
        <v>36215</v>
      </c>
      <c r="F72" s="133">
        <v>35583</v>
      </c>
      <c r="G72" s="133">
        <v>34924</v>
      </c>
      <c r="H72" s="133">
        <v>34238</v>
      </c>
      <c r="I72" s="133">
        <v>33524</v>
      </c>
      <c r="J72" s="133">
        <v>32781</v>
      </c>
      <c r="K72" s="133">
        <v>32006</v>
      </c>
      <c r="L72" s="133">
        <v>31200</v>
      </c>
      <c r="M72" s="133">
        <v>30361</v>
      </c>
      <c r="N72" s="133">
        <v>29487</v>
      </c>
      <c r="O72" s="133">
        <v>28577</v>
      </c>
      <c r="P72" s="133">
        <v>27629</v>
      </c>
      <c r="Q72" s="133">
        <v>26642</v>
      </c>
      <c r="R72" s="133">
        <v>25615</v>
      </c>
      <c r="S72" s="133">
        <v>24545</v>
      </c>
      <c r="T72" s="133">
        <v>23431</v>
      </c>
      <c r="U72" s="133">
        <v>22271</v>
      </c>
      <c r="V72" s="133">
        <v>21063</v>
      </c>
      <c r="W72" s="133">
        <v>19805</v>
      </c>
      <c r="X72" s="133">
        <v>18496</v>
      </c>
      <c r="Y72" s="133">
        <v>17133</v>
      </c>
      <c r="Z72" s="133">
        <v>15713</v>
      </c>
      <c r="AA72" s="133">
        <v>14234</v>
      </c>
      <c r="AB72" s="133">
        <v>12695</v>
      </c>
      <c r="AC72" s="133">
        <v>11092</v>
      </c>
      <c r="AD72" s="133">
        <v>9423</v>
      </c>
      <c r="AE72" s="133">
        <v>7686</v>
      </c>
      <c r="AF72" s="133">
        <v>2876</v>
      </c>
      <c r="AG72" s="133">
        <v>3992</v>
      </c>
      <c r="AH72" s="133">
        <v>2030</v>
      </c>
      <c r="AI72" s="133"/>
      <c r="AJ72" s="133"/>
    </row>
    <row r="73" spans="1:36" x14ac:dyDescent="0.2">
      <c r="A73" s="12"/>
      <c r="B73" s="13"/>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row>
    <row r="74" spans="1:36" x14ac:dyDescent="0.2">
      <c r="A74" s="12"/>
      <c r="B74" s="18" t="s">
        <v>224</v>
      </c>
      <c r="C74" s="20">
        <f>SUM(C66:C73)</f>
        <v>128134</v>
      </c>
      <c r="D74" s="20">
        <f t="shared" ref="D74:U74" si="62">SUM(D66:D73)</f>
        <v>125204</v>
      </c>
      <c r="E74" s="20">
        <f t="shared" si="62"/>
        <v>120699</v>
      </c>
      <c r="F74" s="20">
        <f t="shared" si="62"/>
        <v>116811</v>
      </c>
      <c r="G74" s="20">
        <f t="shared" si="62"/>
        <v>102280</v>
      </c>
      <c r="H74" s="20">
        <f t="shared" si="62"/>
        <v>97303</v>
      </c>
      <c r="I74" s="20">
        <f t="shared" si="62"/>
        <v>92895</v>
      </c>
      <c r="J74" s="20">
        <f t="shared" si="62"/>
        <v>88394</v>
      </c>
      <c r="K74" s="20">
        <f t="shared" si="62"/>
        <v>83451</v>
      </c>
      <c r="L74" s="20">
        <f t="shared" si="62"/>
        <v>78613</v>
      </c>
      <c r="M74" s="20">
        <f t="shared" si="62"/>
        <v>73977</v>
      </c>
      <c r="N74" s="20">
        <f t="shared" si="62"/>
        <v>69068.12</v>
      </c>
      <c r="O74" s="20">
        <f t="shared" si="62"/>
        <v>64852</v>
      </c>
      <c r="P74" s="20">
        <f t="shared" si="62"/>
        <v>60553</v>
      </c>
      <c r="Q74" s="20">
        <f t="shared" si="62"/>
        <v>56170</v>
      </c>
      <c r="R74" s="20">
        <f t="shared" si="62"/>
        <v>52501</v>
      </c>
      <c r="S74" s="20">
        <f t="shared" si="62"/>
        <v>48741</v>
      </c>
      <c r="T74" s="20">
        <f t="shared" si="62"/>
        <v>44889</v>
      </c>
      <c r="U74" s="20">
        <f t="shared" si="62"/>
        <v>40897</v>
      </c>
      <c r="V74" s="20">
        <f t="shared" ref="V74:AJ74" si="63">SUM(V66:V73)</f>
        <v>36806</v>
      </c>
      <c r="W74" s="20">
        <f t="shared" si="63"/>
        <v>32569</v>
      </c>
      <c r="X74" s="20">
        <f t="shared" si="63"/>
        <v>28183</v>
      </c>
      <c r="Y74" s="20">
        <f t="shared" si="63"/>
        <v>24733</v>
      </c>
      <c r="Z74" s="20">
        <f t="shared" si="63"/>
        <v>22363</v>
      </c>
      <c r="AA74" s="20">
        <f t="shared" si="63"/>
        <v>19884</v>
      </c>
      <c r="AB74" s="20">
        <f t="shared" si="63"/>
        <v>17345</v>
      </c>
      <c r="AC74" s="20">
        <f t="shared" si="63"/>
        <v>14692</v>
      </c>
      <c r="AD74" s="20">
        <f t="shared" si="63"/>
        <v>11842</v>
      </c>
      <c r="AE74" s="20">
        <f t="shared" si="63"/>
        <v>8924</v>
      </c>
      <c r="AF74" s="20">
        <f t="shared" si="63"/>
        <v>2876</v>
      </c>
      <c r="AG74" s="20">
        <f t="shared" si="63"/>
        <v>3992</v>
      </c>
      <c r="AH74" s="20">
        <f t="shared" si="63"/>
        <v>2030</v>
      </c>
      <c r="AI74" s="20">
        <f t="shared" si="63"/>
        <v>0</v>
      </c>
      <c r="AJ74" s="20">
        <f t="shared" si="63"/>
        <v>0</v>
      </c>
    </row>
    <row r="75" spans="1:36" x14ac:dyDescent="0.2">
      <c r="A75" s="12"/>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row>
    <row r="76" spans="1:36" x14ac:dyDescent="0.2">
      <c r="B76" s="13" t="s">
        <v>175</v>
      </c>
      <c r="C76" s="15">
        <f>+C74+C64</f>
        <v>258251</v>
      </c>
      <c r="D76" s="15">
        <f t="shared" ref="D76:U76" si="64">+D74+D64</f>
        <v>258835</v>
      </c>
      <c r="E76" s="15">
        <f t="shared" si="64"/>
        <v>257952</v>
      </c>
      <c r="F76" s="15">
        <f t="shared" si="64"/>
        <v>257792</v>
      </c>
      <c r="G76" s="15">
        <f t="shared" si="64"/>
        <v>249594</v>
      </c>
      <c r="H76" s="15">
        <f t="shared" si="64"/>
        <v>246962</v>
      </c>
      <c r="I76" s="15">
        <f t="shared" si="64"/>
        <v>245792</v>
      </c>
      <c r="J76" s="15">
        <f t="shared" si="64"/>
        <v>249616</v>
      </c>
      <c r="K76" s="15">
        <f t="shared" si="64"/>
        <v>248088</v>
      </c>
      <c r="L76" s="15">
        <f t="shared" si="64"/>
        <v>246756</v>
      </c>
      <c r="M76" s="15">
        <f t="shared" si="64"/>
        <v>245721</v>
      </c>
      <c r="N76" s="15">
        <f t="shared" si="64"/>
        <v>190741.12</v>
      </c>
      <c r="O76" s="15">
        <f t="shared" si="64"/>
        <v>189136</v>
      </c>
      <c r="P76" s="15">
        <f t="shared" si="64"/>
        <v>187528</v>
      </c>
      <c r="Q76" s="15">
        <f t="shared" si="64"/>
        <v>190917</v>
      </c>
      <c r="R76" s="15">
        <f t="shared" si="64"/>
        <v>190104</v>
      </c>
      <c r="S76" s="15">
        <f t="shared" si="64"/>
        <v>189287</v>
      </c>
      <c r="T76" s="15">
        <f t="shared" si="64"/>
        <v>188468</v>
      </c>
      <c r="U76" s="15">
        <f t="shared" si="64"/>
        <v>187602</v>
      </c>
      <c r="V76" s="15">
        <f t="shared" ref="V76:AC76" si="65">+V74+V64</f>
        <v>186733</v>
      </c>
      <c r="W76" s="15">
        <f t="shared" si="65"/>
        <v>185817</v>
      </c>
      <c r="X76" s="15">
        <f t="shared" si="65"/>
        <v>189854</v>
      </c>
      <c r="Y76" s="15">
        <f t="shared" si="65"/>
        <v>99151</v>
      </c>
      <c r="Z76" s="15">
        <f t="shared" si="65"/>
        <v>98201</v>
      </c>
      <c r="AA76" s="15">
        <f t="shared" si="65"/>
        <v>97201</v>
      </c>
      <c r="AB76" s="15">
        <f t="shared" si="65"/>
        <v>96201</v>
      </c>
      <c r="AC76" s="15">
        <f t="shared" si="65"/>
        <v>100151</v>
      </c>
      <c r="AD76" s="15">
        <f t="shared" ref="AD76:AJ76" si="66">+AD74+AD64</f>
        <v>98970</v>
      </c>
      <c r="AE76" s="15">
        <f t="shared" si="66"/>
        <v>97789</v>
      </c>
      <c r="AF76" s="15">
        <f t="shared" si="66"/>
        <v>48551</v>
      </c>
      <c r="AG76" s="15">
        <f t="shared" si="66"/>
        <v>51551</v>
      </c>
      <c r="AH76" s="15">
        <f t="shared" si="66"/>
        <v>51243</v>
      </c>
      <c r="AI76" s="15">
        <f t="shared" si="66"/>
        <v>0</v>
      </c>
      <c r="AJ76" s="15">
        <f t="shared" si="66"/>
        <v>0</v>
      </c>
    </row>
    <row r="78" spans="1:36" x14ac:dyDescent="0.2">
      <c r="B78" t="s">
        <v>894</v>
      </c>
      <c r="C78" s="2">
        <f>+C26</f>
        <v>103301</v>
      </c>
      <c r="D78" s="2">
        <f t="shared" ref="D78:U78" si="67">+D26</f>
        <v>103534</v>
      </c>
      <c r="E78" s="2">
        <f t="shared" si="67"/>
        <v>103181</v>
      </c>
      <c r="F78" s="2">
        <f t="shared" si="67"/>
        <v>103117</v>
      </c>
      <c r="G78" s="2">
        <f t="shared" si="67"/>
        <v>99837</v>
      </c>
      <c r="H78" s="2">
        <f t="shared" si="67"/>
        <v>98784</v>
      </c>
      <c r="I78" s="2">
        <f t="shared" si="67"/>
        <v>98317</v>
      </c>
      <c r="J78" s="2">
        <f t="shared" si="67"/>
        <v>99846</v>
      </c>
      <c r="K78" s="2">
        <f t="shared" si="67"/>
        <v>99234</v>
      </c>
      <c r="L78" s="2">
        <f t="shared" si="67"/>
        <v>98703</v>
      </c>
      <c r="M78" s="2">
        <f t="shared" si="67"/>
        <v>98289</v>
      </c>
      <c r="N78" s="2">
        <f t="shared" si="67"/>
        <v>76297</v>
      </c>
      <c r="O78" s="2">
        <f t="shared" si="67"/>
        <v>75655</v>
      </c>
      <c r="P78" s="2">
        <f t="shared" si="67"/>
        <v>75012</v>
      </c>
      <c r="Q78" s="2">
        <f t="shared" si="67"/>
        <v>76367</v>
      </c>
      <c r="R78" s="2">
        <f t="shared" si="67"/>
        <v>76042</v>
      </c>
      <c r="S78" s="2">
        <f t="shared" si="67"/>
        <v>75714</v>
      </c>
      <c r="T78" s="2">
        <f t="shared" si="67"/>
        <v>75388</v>
      </c>
      <c r="U78" s="2">
        <f t="shared" si="67"/>
        <v>75040</v>
      </c>
      <c r="V78" s="2">
        <f t="shared" ref="V78:AC78" si="68">+V26</f>
        <v>74694</v>
      </c>
      <c r="W78" s="2">
        <f t="shared" si="68"/>
        <v>74327</v>
      </c>
      <c r="X78" s="2">
        <f t="shared" si="68"/>
        <v>75941</v>
      </c>
      <c r="Y78" s="2">
        <f t="shared" si="68"/>
        <v>39660</v>
      </c>
      <c r="Z78" s="2">
        <f t="shared" si="68"/>
        <v>39280</v>
      </c>
      <c r="AA78" s="2">
        <f t="shared" si="68"/>
        <v>38881</v>
      </c>
      <c r="AB78" s="2">
        <f t="shared" si="68"/>
        <v>38480</v>
      </c>
      <c r="AC78" s="2">
        <f t="shared" si="68"/>
        <v>40061</v>
      </c>
      <c r="AD78" s="2">
        <f t="shared" ref="AD78:AJ78" si="69">+AD26</f>
        <v>39588</v>
      </c>
      <c r="AE78" s="2">
        <f t="shared" si="69"/>
        <v>39115</v>
      </c>
      <c r="AF78" s="2">
        <f t="shared" si="69"/>
        <v>19420</v>
      </c>
      <c r="AG78" s="2">
        <f t="shared" si="69"/>
        <v>20621</v>
      </c>
      <c r="AH78" s="2">
        <f t="shared" si="69"/>
        <v>20497</v>
      </c>
      <c r="AI78" s="2">
        <f t="shared" si="69"/>
        <v>0</v>
      </c>
      <c r="AJ78" s="2">
        <f t="shared" si="69"/>
        <v>0</v>
      </c>
    </row>
    <row r="79" spans="1:36" ht="15" x14ac:dyDescent="0.35">
      <c r="B79" t="s">
        <v>895</v>
      </c>
      <c r="C79" s="403">
        <f>+C51</f>
        <v>154950</v>
      </c>
      <c r="D79" s="403">
        <f t="shared" ref="D79:U79" si="70">+D51</f>
        <v>155301</v>
      </c>
      <c r="E79" s="403">
        <f t="shared" si="70"/>
        <v>154771</v>
      </c>
      <c r="F79" s="403">
        <f t="shared" si="70"/>
        <v>154675</v>
      </c>
      <c r="G79" s="403">
        <f t="shared" si="70"/>
        <v>149757</v>
      </c>
      <c r="H79" s="403">
        <f t="shared" si="70"/>
        <v>148178</v>
      </c>
      <c r="I79" s="403">
        <f t="shared" si="70"/>
        <v>147475</v>
      </c>
      <c r="J79" s="403">
        <f t="shared" si="70"/>
        <v>149770</v>
      </c>
      <c r="K79" s="403">
        <f t="shared" si="70"/>
        <v>148854</v>
      </c>
      <c r="L79" s="403">
        <f t="shared" si="70"/>
        <v>148053</v>
      </c>
      <c r="M79" s="403">
        <f t="shared" si="70"/>
        <v>147432</v>
      </c>
      <c r="N79" s="403">
        <f t="shared" si="70"/>
        <v>114444.12</v>
      </c>
      <c r="O79" s="403">
        <f t="shared" si="70"/>
        <v>113481</v>
      </c>
      <c r="P79" s="403">
        <f t="shared" si="70"/>
        <v>112516</v>
      </c>
      <c r="Q79" s="403">
        <f t="shared" si="70"/>
        <v>114550</v>
      </c>
      <c r="R79" s="403">
        <f t="shared" si="70"/>
        <v>114062</v>
      </c>
      <c r="S79" s="403">
        <f t="shared" si="70"/>
        <v>113573</v>
      </c>
      <c r="T79" s="403">
        <f t="shared" si="70"/>
        <v>113080</v>
      </c>
      <c r="U79" s="403">
        <f t="shared" si="70"/>
        <v>112562</v>
      </c>
      <c r="V79" s="403">
        <f t="shared" ref="V79:AC79" si="71">+V51</f>
        <v>112039</v>
      </c>
      <c r="W79" s="403">
        <f t="shared" si="71"/>
        <v>111490</v>
      </c>
      <c r="X79" s="403">
        <f t="shared" si="71"/>
        <v>113913</v>
      </c>
      <c r="Y79" s="403">
        <f t="shared" si="71"/>
        <v>59491</v>
      </c>
      <c r="Z79" s="403">
        <f t="shared" si="71"/>
        <v>58921</v>
      </c>
      <c r="AA79" s="403">
        <f t="shared" si="71"/>
        <v>58320</v>
      </c>
      <c r="AB79" s="403">
        <f t="shared" si="71"/>
        <v>57721</v>
      </c>
      <c r="AC79" s="403">
        <f t="shared" si="71"/>
        <v>60090</v>
      </c>
      <c r="AD79" s="403">
        <f t="shared" ref="AD79:AJ79" si="72">+AD51</f>
        <v>59382</v>
      </c>
      <c r="AE79" s="403">
        <f t="shared" si="72"/>
        <v>58674</v>
      </c>
      <c r="AF79" s="403">
        <f t="shared" si="72"/>
        <v>29131</v>
      </c>
      <c r="AG79" s="403">
        <f t="shared" si="72"/>
        <v>30930</v>
      </c>
      <c r="AH79" s="403">
        <f t="shared" si="72"/>
        <v>30746</v>
      </c>
      <c r="AI79" s="403">
        <f t="shared" si="72"/>
        <v>0</v>
      </c>
      <c r="AJ79" s="403">
        <f t="shared" si="72"/>
        <v>0</v>
      </c>
    </row>
    <row r="80" spans="1:36" x14ac:dyDescent="0.2">
      <c r="B80" t="s">
        <v>175</v>
      </c>
      <c r="C80" s="2">
        <f>SUM(C78:C79)</f>
        <v>258251</v>
      </c>
      <c r="D80" s="2">
        <f t="shared" ref="D80:U80" si="73">SUM(D78:D79)</f>
        <v>258835</v>
      </c>
      <c r="E80" s="2">
        <f t="shared" si="73"/>
        <v>257952</v>
      </c>
      <c r="F80" s="2">
        <f t="shared" si="73"/>
        <v>257792</v>
      </c>
      <c r="G80" s="2">
        <f t="shared" si="73"/>
        <v>249594</v>
      </c>
      <c r="H80" s="2">
        <f t="shared" si="73"/>
        <v>246962</v>
      </c>
      <c r="I80" s="2">
        <f t="shared" si="73"/>
        <v>245792</v>
      </c>
      <c r="J80" s="2">
        <f t="shared" si="73"/>
        <v>249616</v>
      </c>
      <c r="K80" s="2">
        <f t="shared" si="73"/>
        <v>248088</v>
      </c>
      <c r="L80" s="2">
        <f t="shared" si="73"/>
        <v>246756</v>
      </c>
      <c r="M80" s="2">
        <f t="shared" si="73"/>
        <v>245721</v>
      </c>
      <c r="N80" s="2">
        <f t="shared" si="73"/>
        <v>190741.12</v>
      </c>
      <c r="O80" s="2">
        <f t="shared" si="73"/>
        <v>189136</v>
      </c>
      <c r="P80" s="2">
        <f t="shared" si="73"/>
        <v>187528</v>
      </c>
      <c r="Q80" s="2">
        <f t="shared" si="73"/>
        <v>190917</v>
      </c>
      <c r="R80" s="2">
        <f t="shared" si="73"/>
        <v>190104</v>
      </c>
      <c r="S80" s="2">
        <f t="shared" si="73"/>
        <v>189287</v>
      </c>
      <c r="T80" s="2">
        <f t="shared" si="73"/>
        <v>188468</v>
      </c>
      <c r="U80" s="2">
        <f t="shared" si="73"/>
        <v>187602</v>
      </c>
      <c r="V80" s="2">
        <f t="shared" ref="V80:AJ80" si="74">SUM(V78:V79)</f>
        <v>186733</v>
      </c>
      <c r="W80" s="2">
        <f t="shared" si="74"/>
        <v>185817</v>
      </c>
      <c r="X80" s="2">
        <f t="shared" si="74"/>
        <v>189854</v>
      </c>
      <c r="Y80" s="2">
        <f t="shared" si="74"/>
        <v>99151</v>
      </c>
      <c r="Z80" s="2">
        <f t="shared" si="74"/>
        <v>98201</v>
      </c>
      <c r="AA80" s="2">
        <f t="shared" si="74"/>
        <v>97201</v>
      </c>
      <c r="AB80" s="2">
        <f t="shared" si="74"/>
        <v>96201</v>
      </c>
      <c r="AC80" s="2">
        <f t="shared" si="74"/>
        <v>100151</v>
      </c>
      <c r="AD80" s="2">
        <f t="shared" si="74"/>
        <v>98970</v>
      </c>
      <c r="AE80" s="2">
        <f t="shared" si="74"/>
        <v>97789</v>
      </c>
      <c r="AF80" s="2">
        <f t="shared" si="74"/>
        <v>48551</v>
      </c>
      <c r="AG80" s="2">
        <f t="shared" si="74"/>
        <v>51551</v>
      </c>
      <c r="AH80" s="2">
        <f t="shared" si="74"/>
        <v>51243</v>
      </c>
      <c r="AI80" s="2">
        <f t="shared" si="74"/>
        <v>0</v>
      </c>
      <c r="AJ80" s="2">
        <f t="shared" si="74"/>
        <v>0</v>
      </c>
    </row>
    <row r="82" spans="2:36" x14ac:dyDescent="0.2">
      <c r="B82" s="254" t="s">
        <v>896</v>
      </c>
      <c r="C82" s="2">
        <f>+C80-C76</f>
        <v>0</v>
      </c>
      <c r="D82" s="2">
        <f t="shared" ref="D82:U82" si="75">+D80-D76</f>
        <v>0</v>
      </c>
      <c r="E82" s="2">
        <f t="shared" si="75"/>
        <v>0</v>
      </c>
      <c r="F82" s="2">
        <f t="shared" si="75"/>
        <v>0</v>
      </c>
      <c r="G82" s="2">
        <f t="shared" si="75"/>
        <v>0</v>
      </c>
      <c r="H82" s="2">
        <f t="shared" si="75"/>
        <v>0</v>
      </c>
      <c r="I82" s="2">
        <f t="shared" si="75"/>
        <v>0</v>
      </c>
      <c r="J82" s="2">
        <f t="shared" si="75"/>
        <v>0</v>
      </c>
      <c r="K82" s="2">
        <f t="shared" si="75"/>
        <v>0</v>
      </c>
      <c r="L82" s="2">
        <f t="shared" si="75"/>
        <v>0</v>
      </c>
      <c r="M82" s="2">
        <f t="shared" si="75"/>
        <v>0</v>
      </c>
      <c r="N82" s="2">
        <f t="shared" si="75"/>
        <v>0</v>
      </c>
      <c r="O82" s="2">
        <f t="shared" si="75"/>
        <v>0</v>
      </c>
      <c r="P82" s="2">
        <f t="shared" si="75"/>
        <v>0</v>
      </c>
      <c r="Q82" s="2">
        <f t="shared" si="75"/>
        <v>0</v>
      </c>
      <c r="R82" s="2">
        <f t="shared" si="75"/>
        <v>0</v>
      </c>
      <c r="S82" s="2">
        <f t="shared" si="75"/>
        <v>0</v>
      </c>
      <c r="T82" s="2">
        <f t="shared" si="75"/>
        <v>0</v>
      </c>
      <c r="U82" s="2">
        <f t="shared" si="75"/>
        <v>0</v>
      </c>
      <c r="V82" s="2">
        <f t="shared" ref="V82:AC82" si="76">+V80-V76</f>
        <v>0</v>
      </c>
      <c r="W82" s="2">
        <f t="shared" si="76"/>
        <v>0</v>
      </c>
      <c r="X82" s="2">
        <f t="shared" si="76"/>
        <v>0</v>
      </c>
      <c r="Y82" s="2">
        <f t="shared" si="76"/>
        <v>0</v>
      </c>
      <c r="Z82" s="2">
        <f t="shared" si="76"/>
        <v>0</v>
      </c>
      <c r="AA82" s="2">
        <f t="shared" si="76"/>
        <v>0</v>
      </c>
      <c r="AB82" s="2">
        <f t="shared" si="76"/>
        <v>0</v>
      </c>
      <c r="AC82" s="2">
        <f t="shared" si="76"/>
        <v>0</v>
      </c>
      <c r="AD82" s="2">
        <f t="shared" ref="AD82:AJ82" si="77">+AD80-AD76</f>
        <v>0</v>
      </c>
      <c r="AE82" s="2">
        <f t="shared" si="77"/>
        <v>0</v>
      </c>
      <c r="AF82" s="2">
        <f t="shared" si="77"/>
        <v>0</v>
      </c>
      <c r="AG82" s="2">
        <f t="shared" si="77"/>
        <v>0</v>
      </c>
      <c r="AH82" s="2">
        <f t="shared" si="77"/>
        <v>0</v>
      </c>
      <c r="AI82" s="2">
        <f t="shared" si="77"/>
        <v>0</v>
      </c>
      <c r="AJ82" s="2">
        <f t="shared" si="77"/>
        <v>0</v>
      </c>
    </row>
  </sheetData>
  <hyperlinks>
    <hyperlink ref="A1" location="'Table of Contents'!A1" display="TOC"/>
  </hyperlinks>
  <pageMargins left="0.7" right="0.7" top="0.75" bottom="0.75" header="0.3" footer="0.3"/>
  <pageSetup orientation="portrait" r:id="rId1"/>
  <headerFooter>
    <oddFooter>&amp;L&amp;D &amp;T&amp;C&amp;F&amp;R&amp;A &amp;P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210"/>
  <sheetViews>
    <sheetView workbookViewId="0">
      <pane ySplit="3" topLeftCell="A61" activePane="bottomLeft" state="frozen"/>
      <selection activeCell="J18" sqref="J18"/>
      <selection pane="bottomLeft" activeCell="G61" sqref="G61"/>
    </sheetView>
  </sheetViews>
  <sheetFormatPr defaultRowHeight="12.75" x14ac:dyDescent="0.2"/>
  <cols>
    <col min="2" max="2" width="39.33203125" customWidth="1"/>
    <col min="3" max="3" width="12" hidden="1" customWidth="1"/>
    <col min="4" max="13" width="12" customWidth="1"/>
    <col min="14" max="30" width="10.6640625" customWidth="1"/>
    <col min="31" max="32" width="10.1640625" customWidth="1"/>
  </cols>
  <sheetData>
    <row r="1" spans="1:35" x14ac:dyDescent="0.2">
      <c r="A1" s="410" t="s">
        <v>1418</v>
      </c>
      <c r="B1" s="90"/>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row>
    <row r="2" spans="1:35" x14ac:dyDescent="0.2">
      <c r="A2" s="90"/>
      <c r="B2" s="9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row>
    <row r="3" spans="1:35" ht="13.5" thickBot="1" x14ac:dyDescent="0.25">
      <c r="B3" s="8" t="s">
        <v>123</v>
      </c>
      <c r="C3" s="9" t="s">
        <v>897</v>
      </c>
      <c r="D3" s="9" t="s">
        <v>898</v>
      </c>
      <c r="E3" s="9" t="s">
        <v>899</v>
      </c>
      <c r="F3" s="9" t="s">
        <v>900</v>
      </c>
      <c r="G3" s="9" t="s">
        <v>901</v>
      </c>
      <c r="H3" s="9" t="s">
        <v>902</v>
      </c>
      <c r="I3" s="9" t="s">
        <v>903</v>
      </c>
      <c r="J3" s="9" t="s">
        <v>904</v>
      </c>
      <c r="K3" s="9" t="s">
        <v>905</v>
      </c>
      <c r="L3" s="9" t="s">
        <v>906</v>
      </c>
      <c r="M3" s="9" t="s">
        <v>907</v>
      </c>
      <c r="N3" s="9" t="s">
        <v>908</v>
      </c>
      <c r="O3" s="9" t="s">
        <v>909</v>
      </c>
      <c r="P3" s="9" t="s">
        <v>910</v>
      </c>
      <c r="Q3" s="9" t="s">
        <v>911</v>
      </c>
      <c r="R3" s="9" t="s">
        <v>912</v>
      </c>
      <c r="S3" s="9" t="s">
        <v>913</v>
      </c>
      <c r="T3" s="9" t="s">
        <v>914</v>
      </c>
      <c r="U3" s="9" t="s">
        <v>915</v>
      </c>
      <c r="V3" s="9" t="s">
        <v>916</v>
      </c>
      <c r="W3" s="9" t="s">
        <v>917</v>
      </c>
      <c r="X3" s="9" t="s">
        <v>918</v>
      </c>
      <c r="Y3" s="9" t="s">
        <v>919</v>
      </c>
      <c r="Z3" s="9" t="s">
        <v>920</v>
      </c>
      <c r="AA3" s="9" t="s">
        <v>921</v>
      </c>
      <c r="AB3" s="9" t="s">
        <v>922</v>
      </c>
      <c r="AC3" s="9" t="s">
        <v>923</v>
      </c>
      <c r="AD3" s="9" t="s">
        <v>924</v>
      </c>
      <c r="AE3" s="9" t="s">
        <v>925</v>
      </c>
      <c r="AF3" s="9" t="s">
        <v>926</v>
      </c>
      <c r="AG3" s="9" t="s">
        <v>927</v>
      </c>
      <c r="AH3" s="9" t="s">
        <v>928</v>
      </c>
      <c r="AI3" s="9" t="s">
        <v>929</v>
      </c>
    </row>
    <row r="4" spans="1:35" ht="13.5" thickTop="1" x14ac:dyDescent="0.2">
      <c r="B4" s="93" t="s">
        <v>1121</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row>
    <row r="5" spans="1:35" x14ac:dyDescent="0.2">
      <c r="A5" s="30"/>
      <c r="B5" s="31"/>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row>
    <row r="6" spans="1:35" x14ac:dyDescent="0.2">
      <c r="A6" s="12">
        <v>5910</v>
      </c>
      <c r="B6" s="13" t="s">
        <v>222</v>
      </c>
      <c r="C6" s="20"/>
      <c r="D6" s="20">
        <f t="shared" ref="D6:AI6" si="0">+D50+D69</f>
        <v>37940</v>
      </c>
      <c r="E6" s="20">
        <f t="shared" si="0"/>
        <v>35980</v>
      </c>
      <c r="F6" s="20">
        <f t="shared" si="0"/>
        <v>0</v>
      </c>
      <c r="G6" s="20">
        <f t="shared" si="0"/>
        <v>0</v>
      </c>
      <c r="H6" s="20">
        <f t="shared" si="0"/>
        <v>0</v>
      </c>
      <c r="I6" s="20">
        <f t="shared" si="0"/>
        <v>0</v>
      </c>
      <c r="J6" s="20">
        <f t="shared" si="0"/>
        <v>0</v>
      </c>
      <c r="K6" s="20">
        <f t="shared" si="0"/>
        <v>0</v>
      </c>
      <c r="L6" s="20">
        <f t="shared" si="0"/>
        <v>0</v>
      </c>
      <c r="M6" s="20">
        <f t="shared" si="0"/>
        <v>0</v>
      </c>
      <c r="N6" s="20">
        <f t="shared" si="0"/>
        <v>0</v>
      </c>
      <c r="O6" s="20">
        <f t="shared" si="0"/>
        <v>0</v>
      </c>
      <c r="P6" s="20">
        <f t="shared" si="0"/>
        <v>0</v>
      </c>
      <c r="Q6" s="20">
        <f t="shared" si="0"/>
        <v>0</v>
      </c>
      <c r="R6" s="20">
        <f t="shared" si="0"/>
        <v>0</v>
      </c>
      <c r="S6" s="20">
        <f t="shared" si="0"/>
        <v>0</v>
      </c>
      <c r="T6" s="20">
        <f t="shared" si="0"/>
        <v>0</v>
      </c>
      <c r="U6" s="20">
        <f t="shared" si="0"/>
        <v>0</v>
      </c>
      <c r="V6" s="20">
        <f t="shared" si="0"/>
        <v>0</v>
      </c>
      <c r="W6" s="20">
        <f t="shared" si="0"/>
        <v>0</v>
      </c>
      <c r="X6" s="20">
        <f t="shared" si="0"/>
        <v>0</v>
      </c>
      <c r="Y6" s="20">
        <f t="shared" si="0"/>
        <v>0</v>
      </c>
      <c r="Z6" s="20">
        <f t="shared" si="0"/>
        <v>0</v>
      </c>
      <c r="AA6" s="20">
        <f t="shared" si="0"/>
        <v>0</v>
      </c>
      <c r="AB6" s="20">
        <f t="shared" si="0"/>
        <v>0</v>
      </c>
      <c r="AC6" s="20">
        <f t="shared" si="0"/>
        <v>0</v>
      </c>
      <c r="AD6" s="20">
        <f t="shared" si="0"/>
        <v>0</v>
      </c>
      <c r="AE6" s="20">
        <f t="shared" si="0"/>
        <v>0</v>
      </c>
      <c r="AF6" s="20">
        <f t="shared" si="0"/>
        <v>0</v>
      </c>
      <c r="AG6" s="20">
        <f t="shared" si="0"/>
        <v>0</v>
      </c>
      <c r="AH6" s="20">
        <f t="shared" si="0"/>
        <v>0</v>
      </c>
      <c r="AI6" s="20">
        <f t="shared" si="0"/>
        <v>0</v>
      </c>
    </row>
    <row r="7" spans="1:35" x14ac:dyDescent="0.2">
      <c r="A7" s="12">
        <v>5916</v>
      </c>
      <c r="B7" s="13" t="s">
        <v>386</v>
      </c>
      <c r="C7" s="20"/>
      <c r="D7" s="20">
        <f t="shared" ref="D7:AI7" si="1">+D51+D70</f>
        <v>25400</v>
      </c>
      <c r="E7" s="20">
        <f t="shared" si="1"/>
        <v>24600</v>
      </c>
      <c r="F7" s="20">
        <f t="shared" si="1"/>
        <v>18900</v>
      </c>
      <c r="G7" s="20">
        <f t="shared" si="1"/>
        <v>18300</v>
      </c>
      <c r="H7" s="20">
        <f t="shared" si="1"/>
        <v>17700</v>
      </c>
      <c r="I7" s="20">
        <f t="shared" si="1"/>
        <v>17100</v>
      </c>
      <c r="J7" s="20">
        <f t="shared" si="1"/>
        <v>16500</v>
      </c>
      <c r="K7" s="20">
        <f t="shared" si="1"/>
        <v>15900</v>
      </c>
      <c r="L7" s="20">
        <f t="shared" si="1"/>
        <v>15300</v>
      </c>
      <c r="M7" s="20">
        <f t="shared" si="1"/>
        <v>0</v>
      </c>
      <c r="N7" s="20">
        <f t="shared" si="1"/>
        <v>0</v>
      </c>
      <c r="O7" s="20">
        <f t="shared" si="1"/>
        <v>0</v>
      </c>
      <c r="P7" s="20">
        <f t="shared" si="1"/>
        <v>0</v>
      </c>
      <c r="Q7" s="20">
        <f t="shared" si="1"/>
        <v>0</v>
      </c>
      <c r="R7" s="20">
        <f t="shared" si="1"/>
        <v>0</v>
      </c>
      <c r="S7" s="20">
        <f t="shared" si="1"/>
        <v>0</v>
      </c>
      <c r="T7" s="20">
        <f t="shared" si="1"/>
        <v>0</v>
      </c>
      <c r="U7" s="20">
        <f t="shared" si="1"/>
        <v>0</v>
      </c>
      <c r="V7" s="20">
        <f t="shared" si="1"/>
        <v>0</v>
      </c>
      <c r="W7" s="20">
        <f t="shared" si="1"/>
        <v>0</v>
      </c>
      <c r="X7" s="20">
        <f t="shared" si="1"/>
        <v>0</v>
      </c>
      <c r="Y7" s="20">
        <f t="shared" si="1"/>
        <v>0</v>
      </c>
      <c r="Z7" s="20">
        <f t="shared" si="1"/>
        <v>0</v>
      </c>
      <c r="AA7" s="20">
        <f t="shared" si="1"/>
        <v>0</v>
      </c>
      <c r="AB7" s="20">
        <f t="shared" si="1"/>
        <v>0</v>
      </c>
      <c r="AC7" s="20">
        <f t="shared" si="1"/>
        <v>0</v>
      </c>
      <c r="AD7" s="20">
        <f t="shared" si="1"/>
        <v>0</v>
      </c>
      <c r="AE7" s="20">
        <f t="shared" si="1"/>
        <v>0</v>
      </c>
      <c r="AF7" s="20">
        <f t="shared" si="1"/>
        <v>0</v>
      </c>
      <c r="AG7" s="20">
        <f t="shared" si="1"/>
        <v>0</v>
      </c>
      <c r="AH7" s="20">
        <f t="shared" si="1"/>
        <v>0</v>
      </c>
      <c r="AI7" s="20">
        <f t="shared" si="1"/>
        <v>0</v>
      </c>
    </row>
    <row r="8" spans="1:35" x14ac:dyDescent="0.2">
      <c r="A8" s="12">
        <v>5920</v>
      </c>
      <c r="B8" s="13" t="s">
        <v>933</v>
      </c>
      <c r="C8" s="20"/>
      <c r="D8" s="20">
        <f t="shared" ref="D8:AI8" si="2">+D52+D71</f>
        <v>395800</v>
      </c>
      <c r="E8" s="20">
        <f t="shared" si="2"/>
        <v>395000</v>
      </c>
      <c r="F8" s="20">
        <f t="shared" si="2"/>
        <v>398700</v>
      </c>
      <c r="G8" s="20">
        <f t="shared" si="2"/>
        <v>396900</v>
      </c>
      <c r="H8" s="20">
        <f t="shared" si="2"/>
        <v>399600</v>
      </c>
      <c r="I8" s="20">
        <f t="shared" si="2"/>
        <v>401700</v>
      </c>
      <c r="J8" s="20">
        <f t="shared" si="2"/>
        <v>403200</v>
      </c>
      <c r="K8" s="20">
        <f t="shared" si="2"/>
        <v>403200</v>
      </c>
      <c r="L8" s="20">
        <f t="shared" si="2"/>
        <v>401663</v>
      </c>
      <c r="M8" s="20">
        <f t="shared" si="2"/>
        <v>414113</v>
      </c>
      <c r="N8" s="20">
        <f t="shared" si="2"/>
        <v>0</v>
      </c>
      <c r="O8" s="20">
        <f t="shared" si="2"/>
        <v>0</v>
      </c>
      <c r="P8" s="20">
        <f t="shared" si="2"/>
        <v>0</v>
      </c>
      <c r="Q8" s="20">
        <f t="shared" si="2"/>
        <v>0</v>
      </c>
      <c r="R8" s="20">
        <f t="shared" si="2"/>
        <v>0</v>
      </c>
      <c r="S8" s="20">
        <f t="shared" si="2"/>
        <v>0</v>
      </c>
      <c r="T8" s="20">
        <f t="shared" si="2"/>
        <v>0</v>
      </c>
      <c r="U8" s="20">
        <f t="shared" si="2"/>
        <v>0</v>
      </c>
      <c r="V8" s="20">
        <f t="shared" si="2"/>
        <v>0</v>
      </c>
      <c r="W8" s="20">
        <f t="shared" si="2"/>
        <v>0</v>
      </c>
      <c r="X8" s="20">
        <f t="shared" si="2"/>
        <v>0</v>
      </c>
      <c r="Y8" s="20">
        <f t="shared" si="2"/>
        <v>0</v>
      </c>
      <c r="Z8" s="20">
        <f t="shared" si="2"/>
        <v>0</v>
      </c>
      <c r="AA8" s="20">
        <f t="shared" si="2"/>
        <v>0</v>
      </c>
      <c r="AB8" s="20">
        <f t="shared" si="2"/>
        <v>0</v>
      </c>
      <c r="AC8" s="20">
        <f t="shared" si="2"/>
        <v>0</v>
      </c>
      <c r="AD8" s="20">
        <f t="shared" si="2"/>
        <v>0</v>
      </c>
      <c r="AE8" s="20">
        <f t="shared" si="2"/>
        <v>0</v>
      </c>
      <c r="AF8" s="20">
        <f t="shared" si="2"/>
        <v>0</v>
      </c>
      <c r="AG8" s="20">
        <f t="shared" si="2"/>
        <v>0</v>
      </c>
      <c r="AH8" s="20">
        <f t="shared" si="2"/>
        <v>0</v>
      </c>
      <c r="AI8" s="20">
        <f t="shared" si="2"/>
        <v>0</v>
      </c>
    </row>
    <row r="9" spans="1:35" x14ac:dyDescent="0.2">
      <c r="A9" s="12">
        <v>5930</v>
      </c>
      <c r="B9" s="117" t="s">
        <v>36</v>
      </c>
      <c r="C9" s="20"/>
      <c r="D9" s="20">
        <f>+D151+D157+D158</f>
        <v>23546</v>
      </c>
      <c r="E9" s="20">
        <f t="shared" ref="E9:AI9" si="3">+E151+E157+E158</f>
        <v>23516</v>
      </c>
      <c r="F9" s="20">
        <f t="shared" si="3"/>
        <v>23809</v>
      </c>
      <c r="G9" s="20">
        <f t="shared" si="3"/>
        <v>23455</v>
      </c>
      <c r="H9" s="20">
        <f t="shared" si="3"/>
        <v>23422</v>
      </c>
      <c r="I9" s="20">
        <f t="shared" si="3"/>
        <v>23390</v>
      </c>
      <c r="J9" s="20">
        <f t="shared" si="3"/>
        <v>23357</v>
      </c>
      <c r="K9" s="20">
        <f t="shared" si="3"/>
        <v>23325</v>
      </c>
      <c r="L9" s="20">
        <f t="shared" si="3"/>
        <v>23451</v>
      </c>
      <c r="M9" s="20">
        <f t="shared" si="3"/>
        <v>0</v>
      </c>
      <c r="N9" s="20">
        <f t="shared" si="3"/>
        <v>0</v>
      </c>
      <c r="O9" s="20">
        <f t="shared" si="3"/>
        <v>0</v>
      </c>
      <c r="P9" s="20">
        <f t="shared" si="3"/>
        <v>0</v>
      </c>
      <c r="Q9" s="20">
        <f t="shared" si="3"/>
        <v>0</v>
      </c>
      <c r="R9" s="20">
        <f t="shared" si="3"/>
        <v>0</v>
      </c>
      <c r="S9" s="20">
        <f t="shared" si="3"/>
        <v>0</v>
      </c>
      <c r="T9" s="20">
        <f t="shared" si="3"/>
        <v>0</v>
      </c>
      <c r="U9" s="20">
        <f t="shared" si="3"/>
        <v>0</v>
      </c>
      <c r="V9" s="20">
        <f t="shared" si="3"/>
        <v>0</v>
      </c>
      <c r="W9" s="20">
        <f t="shared" si="3"/>
        <v>0</v>
      </c>
      <c r="X9" s="20">
        <f t="shared" si="3"/>
        <v>0</v>
      </c>
      <c r="Y9" s="20">
        <f t="shared" si="3"/>
        <v>0</v>
      </c>
      <c r="Z9" s="20">
        <f t="shared" si="3"/>
        <v>0</v>
      </c>
      <c r="AA9" s="20">
        <f t="shared" si="3"/>
        <v>0</v>
      </c>
      <c r="AB9" s="20">
        <f t="shared" si="3"/>
        <v>0</v>
      </c>
      <c r="AC9" s="20">
        <f t="shared" si="3"/>
        <v>0</v>
      </c>
      <c r="AD9" s="20">
        <f t="shared" si="3"/>
        <v>0</v>
      </c>
      <c r="AE9" s="20">
        <f t="shared" si="3"/>
        <v>0</v>
      </c>
      <c r="AF9" s="20">
        <f t="shared" si="3"/>
        <v>0</v>
      </c>
      <c r="AG9" s="20">
        <f t="shared" si="3"/>
        <v>0</v>
      </c>
      <c r="AH9" s="20">
        <f t="shared" si="3"/>
        <v>0</v>
      </c>
      <c r="AI9" s="20">
        <f t="shared" si="3"/>
        <v>0</v>
      </c>
    </row>
    <row r="10" spans="1:35" x14ac:dyDescent="0.2">
      <c r="A10" s="12">
        <v>5931</v>
      </c>
      <c r="B10" s="69" t="s">
        <v>37</v>
      </c>
      <c r="C10" s="20"/>
      <c r="D10" s="20">
        <f>+D152+D159+D160</f>
        <v>36711</v>
      </c>
      <c r="E10" s="20">
        <f t="shared" ref="E10:AI10" si="4">+E152+E159+E160</f>
        <v>36678</v>
      </c>
      <c r="F10" s="20">
        <f t="shared" si="4"/>
        <v>36642</v>
      </c>
      <c r="G10" s="20">
        <f t="shared" si="4"/>
        <v>36606</v>
      </c>
      <c r="H10" s="20">
        <f t="shared" si="4"/>
        <v>36571</v>
      </c>
      <c r="I10" s="20">
        <f t="shared" si="4"/>
        <v>36533</v>
      </c>
      <c r="J10" s="20">
        <f t="shared" si="4"/>
        <v>36454</v>
      </c>
      <c r="K10" s="20">
        <f t="shared" si="4"/>
        <v>36455</v>
      </c>
      <c r="L10" s="20">
        <f t="shared" si="4"/>
        <v>36415</v>
      </c>
      <c r="M10" s="20">
        <f t="shared" si="4"/>
        <v>36374</v>
      </c>
      <c r="N10" s="20">
        <f t="shared" si="4"/>
        <v>36331</v>
      </c>
      <c r="O10" s="20">
        <f t="shared" si="4"/>
        <v>36288</v>
      </c>
      <c r="P10" s="20">
        <f t="shared" si="4"/>
        <v>36243</v>
      </c>
      <c r="Q10" s="20">
        <f t="shared" si="4"/>
        <v>36199</v>
      </c>
      <c r="R10" s="20">
        <f t="shared" si="4"/>
        <v>36151</v>
      </c>
      <c r="S10" s="20">
        <f t="shared" si="4"/>
        <v>36105</v>
      </c>
      <c r="T10" s="20">
        <f t="shared" si="4"/>
        <v>36055</v>
      </c>
      <c r="U10" s="20">
        <f t="shared" si="4"/>
        <v>36006</v>
      </c>
      <c r="V10" s="20">
        <f t="shared" si="4"/>
        <v>35954</v>
      </c>
      <c r="W10" s="20">
        <f t="shared" si="4"/>
        <v>35901</v>
      </c>
      <c r="X10" s="20">
        <f t="shared" si="4"/>
        <v>0</v>
      </c>
      <c r="Y10" s="20">
        <f t="shared" si="4"/>
        <v>0</v>
      </c>
      <c r="Z10" s="20">
        <f t="shared" si="4"/>
        <v>0</v>
      </c>
      <c r="AA10" s="20">
        <f t="shared" si="4"/>
        <v>0</v>
      </c>
      <c r="AB10" s="20">
        <f t="shared" si="4"/>
        <v>0</v>
      </c>
      <c r="AC10" s="20">
        <f t="shared" si="4"/>
        <v>0</v>
      </c>
      <c r="AD10" s="20">
        <f t="shared" si="4"/>
        <v>0</v>
      </c>
      <c r="AE10" s="20">
        <f t="shared" si="4"/>
        <v>0</v>
      </c>
      <c r="AF10" s="20">
        <f t="shared" si="4"/>
        <v>0</v>
      </c>
      <c r="AG10" s="20">
        <f t="shared" si="4"/>
        <v>0</v>
      </c>
      <c r="AH10" s="20">
        <f t="shared" si="4"/>
        <v>0</v>
      </c>
      <c r="AI10" s="20">
        <f t="shared" si="4"/>
        <v>0</v>
      </c>
    </row>
    <row r="11" spans="1:35" x14ac:dyDescent="0.2">
      <c r="A11" s="12">
        <v>5932</v>
      </c>
      <c r="B11" s="69" t="s">
        <v>38</v>
      </c>
      <c r="C11" s="20"/>
      <c r="D11" s="20">
        <f>+D153+D161</f>
        <v>22304</v>
      </c>
      <c r="E11" s="20">
        <f t="shared" ref="E11:AI11" si="5">+E153+E161</f>
        <v>22303</v>
      </c>
      <c r="F11" s="20">
        <f t="shared" si="5"/>
        <v>22303</v>
      </c>
      <c r="G11" s="20">
        <f t="shared" si="5"/>
        <v>22303</v>
      </c>
      <c r="H11" s="20">
        <f t="shared" si="5"/>
        <v>22303</v>
      </c>
      <c r="I11" s="20">
        <f t="shared" si="5"/>
        <v>22303</v>
      </c>
      <c r="J11" s="20">
        <f t="shared" si="5"/>
        <v>22304</v>
      </c>
      <c r="K11" s="20">
        <f t="shared" si="5"/>
        <v>22303</v>
      </c>
      <c r="L11" s="20">
        <f t="shared" si="5"/>
        <v>22303</v>
      </c>
      <c r="M11" s="20">
        <f t="shared" si="5"/>
        <v>22304</v>
      </c>
      <c r="N11" s="20">
        <f t="shared" si="5"/>
        <v>22303</v>
      </c>
      <c r="O11" s="20">
        <f t="shared" si="5"/>
        <v>22304</v>
      </c>
      <c r="P11" s="20">
        <f t="shared" si="5"/>
        <v>22303</v>
      </c>
      <c r="Q11" s="20">
        <f t="shared" si="5"/>
        <v>22303</v>
      </c>
      <c r="R11" s="20">
        <f t="shared" si="5"/>
        <v>22303</v>
      </c>
      <c r="S11" s="20">
        <f t="shared" si="5"/>
        <v>22303</v>
      </c>
      <c r="T11" s="20">
        <f t="shared" si="5"/>
        <v>22304</v>
      </c>
      <c r="U11" s="20">
        <f t="shared" si="5"/>
        <v>22303</v>
      </c>
      <c r="V11" s="20">
        <f t="shared" si="5"/>
        <v>22303</v>
      </c>
      <c r="W11" s="20">
        <f t="shared" si="5"/>
        <v>22303</v>
      </c>
      <c r="X11" s="20">
        <f t="shared" si="5"/>
        <v>22303</v>
      </c>
      <c r="Y11" s="20">
        <f t="shared" si="5"/>
        <v>22303</v>
      </c>
      <c r="Z11" s="20">
        <f t="shared" si="5"/>
        <v>22303</v>
      </c>
      <c r="AA11" s="20">
        <f t="shared" si="5"/>
        <v>22303</v>
      </c>
      <c r="AB11" s="20">
        <f t="shared" si="5"/>
        <v>22303</v>
      </c>
      <c r="AC11" s="20">
        <f t="shared" si="5"/>
        <v>22303</v>
      </c>
      <c r="AD11" s="20">
        <f t="shared" si="5"/>
        <v>22303</v>
      </c>
      <c r="AE11" s="20">
        <f t="shared" si="5"/>
        <v>22234</v>
      </c>
      <c r="AF11" s="20">
        <f t="shared" si="5"/>
        <v>0</v>
      </c>
      <c r="AG11" s="20">
        <f t="shared" si="5"/>
        <v>0</v>
      </c>
      <c r="AH11" s="20">
        <f t="shared" si="5"/>
        <v>0</v>
      </c>
      <c r="AI11" s="20">
        <f t="shared" si="5"/>
        <v>0</v>
      </c>
    </row>
    <row r="12" spans="1:35" x14ac:dyDescent="0.2">
      <c r="A12" s="12">
        <v>5933</v>
      </c>
      <c r="B12" s="69" t="s">
        <v>341</v>
      </c>
      <c r="C12" s="20"/>
      <c r="D12" s="20">
        <f>+D154+D162</f>
        <v>20620</v>
      </c>
      <c r="E12" s="20">
        <f t="shared" ref="E12:AI12" si="6">+E154+E162</f>
        <v>20620</v>
      </c>
      <c r="F12" s="20">
        <f t="shared" si="6"/>
        <v>20621</v>
      </c>
      <c r="G12" s="20">
        <f t="shared" si="6"/>
        <v>20620</v>
      </c>
      <c r="H12" s="20">
        <f t="shared" si="6"/>
        <v>20621</v>
      </c>
      <c r="I12" s="20">
        <f t="shared" si="6"/>
        <v>20620</v>
      </c>
      <c r="J12" s="20">
        <f t="shared" si="6"/>
        <v>20620</v>
      </c>
      <c r="K12" s="20">
        <f t="shared" si="6"/>
        <v>20620</v>
      </c>
      <c r="L12" s="20">
        <f t="shared" si="6"/>
        <v>20620</v>
      </c>
      <c r="M12" s="20">
        <f t="shared" si="6"/>
        <v>20621</v>
      </c>
      <c r="N12" s="20">
        <f t="shared" si="6"/>
        <v>20621</v>
      </c>
      <c r="O12" s="20">
        <f t="shared" si="6"/>
        <v>20621</v>
      </c>
      <c r="P12" s="20">
        <f t="shared" si="6"/>
        <v>20621</v>
      </c>
      <c r="Q12" s="20">
        <f t="shared" si="6"/>
        <v>20620</v>
      </c>
      <c r="R12" s="20">
        <f t="shared" si="6"/>
        <v>20620</v>
      </c>
      <c r="S12" s="20">
        <f t="shared" si="6"/>
        <v>20620</v>
      </c>
      <c r="T12" s="20">
        <f t="shared" si="6"/>
        <v>20620</v>
      </c>
      <c r="U12" s="20">
        <f t="shared" si="6"/>
        <v>20620</v>
      </c>
      <c r="V12" s="20">
        <f t="shared" si="6"/>
        <v>20620</v>
      </c>
      <c r="W12" s="20">
        <f t="shared" si="6"/>
        <v>20620</v>
      </c>
      <c r="X12" s="20">
        <f t="shared" si="6"/>
        <v>20620</v>
      </c>
      <c r="Y12" s="20">
        <f t="shared" si="6"/>
        <v>20620</v>
      </c>
      <c r="Z12" s="20">
        <f t="shared" si="6"/>
        <v>20621</v>
      </c>
      <c r="AA12" s="20">
        <f t="shared" si="6"/>
        <v>20620</v>
      </c>
      <c r="AB12" s="20">
        <f t="shared" si="6"/>
        <v>20621</v>
      </c>
      <c r="AC12" s="20">
        <f t="shared" si="6"/>
        <v>20620</v>
      </c>
      <c r="AD12" s="20">
        <f t="shared" si="6"/>
        <v>20620</v>
      </c>
      <c r="AE12" s="20">
        <f t="shared" si="6"/>
        <v>20620</v>
      </c>
      <c r="AF12" s="20">
        <f t="shared" si="6"/>
        <v>20621</v>
      </c>
      <c r="AG12" s="20">
        <f t="shared" si="6"/>
        <v>20497</v>
      </c>
      <c r="AH12" s="20">
        <f t="shared" si="6"/>
        <v>0</v>
      </c>
      <c r="AI12" s="20">
        <f t="shared" si="6"/>
        <v>0</v>
      </c>
    </row>
    <row r="13" spans="1:35" x14ac:dyDescent="0.2">
      <c r="A13" s="12">
        <v>5934</v>
      </c>
      <c r="B13" s="13" t="s">
        <v>679</v>
      </c>
      <c r="C13" s="20"/>
      <c r="D13" s="20">
        <f t="shared" ref="D13:AI13" si="7">+D57+D78</f>
        <v>6975</v>
      </c>
      <c r="E13" s="20">
        <f t="shared" si="7"/>
        <v>6775</v>
      </c>
      <c r="F13" s="20">
        <f t="shared" si="7"/>
        <v>6575</v>
      </c>
      <c r="G13" s="20">
        <f t="shared" si="7"/>
        <v>6375</v>
      </c>
      <c r="H13" s="20">
        <f t="shared" si="7"/>
        <v>6175</v>
      </c>
      <c r="I13" s="20">
        <f t="shared" si="7"/>
        <v>5975</v>
      </c>
      <c r="J13" s="20">
        <f t="shared" si="7"/>
        <v>5775</v>
      </c>
      <c r="K13" s="20">
        <f t="shared" si="7"/>
        <v>5563</v>
      </c>
      <c r="L13" s="20">
        <f t="shared" si="7"/>
        <v>5338</v>
      </c>
      <c r="M13" s="20">
        <f t="shared" si="7"/>
        <v>5113</v>
      </c>
      <c r="N13" s="20">
        <f t="shared" si="7"/>
        <v>0</v>
      </c>
      <c r="O13" s="20">
        <f t="shared" si="7"/>
        <v>0</v>
      </c>
      <c r="P13" s="20">
        <f t="shared" si="7"/>
        <v>0</v>
      </c>
      <c r="Q13" s="20">
        <f t="shared" si="7"/>
        <v>0</v>
      </c>
      <c r="R13" s="20">
        <f t="shared" si="7"/>
        <v>0</v>
      </c>
      <c r="S13" s="20">
        <f t="shared" si="7"/>
        <v>0</v>
      </c>
      <c r="T13" s="20">
        <f t="shared" si="7"/>
        <v>0</v>
      </c>
      <c r="U13" s="20">
        <f t="shared" si="7"/>
        <v>0</v>
      </c>
      <c r="V13" s="20">
        <f t="shared" si="7"/>
        <v>0</v>
      </c>
      <c r="W13" s="20">
        <f t="shared" si="7"/>
        <v>0</v>
      </c>
      <c r="X13" s="20">
        <f t="shared" si="7"/>
        <v>0</v>
      </c>
      <c r="Y13" s="20">
        <f t="shared" si="7"/>
        <v>0</v>
      </c>
      <c r="Z13" s="20">
        <f t="shared" si="7"/>
        <v>0</v>
      </c>
      <c r="AA13" s="20">
        <f t="shared" si="7"/>
        <v>0</v>
      </c>
      <c r="AB13" s="20">
        <f t="shared" si="7"/>
        <v>0</v>
      </c>
      <c r="AC13" s="20">
        <f t="shared" si="7"/>
        <v>0</v>
      </c>
      <c r="AD13" s="20">
        <f t="shared" si="7"/>
        <v>0</v>
      </c>
      <c r="AE13" s="20">
        <f t="shared" si="7"/>
        <v>0</v>
      </c>
      <c r="AF13" s="20">
        <f t="shared" si="7"/>
        <v>0</v>
      </c>
      <c r="AG13" s="20">
        <f t="shared" si="7"/>
        <v>0</v>
      </c>
      <c r="AH13" s="20">
        <f t="shared" si="7"/>
        <v>0</v>
      </c>
      <c r="AI13" s="20">
        <f t="shared" si="7"/>
        <v>0</v>
      </c>
    </row>
    <row r="14" spans="1:35" x14ac:dyDescent="0.2">
      <c r="A14" s="12">
        <v>5936</v>
      </c>
      <c r="B14" s="13" t="s">
        <v>729</v>
      </c>
      <c r="C14" s="20"/>
      <c r="D14" s="20">
        <f t="shared" ref="D14:AI14" si="8">+D58+D79</f>
        <v>8263</v>
      </c>
      <c r="E14" s="20">
        <f t="shared" si="8"/>
        <v>8263</v>
      </c>
      <c r="F14" s="20">
        <f t="shared" si="8"/>
        <v>8263</v>
      </c>
      <c r="G14" s="20">
        <f t="shared" si="8"/>
        <v>8263</v>
      </c>
      <c r="H14" s="20">
        <f t="shared" si="8"/>
        <v>8263</v>
      </c>
      <c r="I14" s="20">
        <f t="shared" si="8"/>
        <v>8263</v>
      </c>
      <c r="J14" s="20">
        <f t="shared" si="8"/>
        <v>8263</v>
      </c>
      <c r="K14" s="20">
        <f t="shared" si="8"/>
        <v>8264</v>
      </c>
      <c r="L14" s="20">
        <f t="shared" si="8"/>
        <v>8263</v>
      </c>
      <c r="M14" s="20">
        <f t="shared" si="8"/>
        <v>8263</v>
      </c>
      <c r="N14" s="20">
        <f t="shared" si="8"/>
        <v>8263</v>
      </c>
      <c r="O14" s="20">
        <f t="shared" si="8"/>
        <v>8263</v>
      </c>
      <c r="P14" s="20">
        <f t="shared" si="8"/>
        <v>8263</v>
      </c>
      <c r="Q14" s="20">
        <f t="shared" si="8"/>
        <v>8264</v>
      </c>
      <c r="R14" s="20">
        <f t="shared" si="8"/>
        <v>8263</v>
      </c>
      <c r="S14" s="20">
        <f t="shared" si="8"/>
        <v>0</v>
      </c>
      <c r="T14" s="20">
        <f t="shared" si="8"/>
        <v>0</v>
      </c>
      <c r="U14" s="20">
        <f t="shared" si="8"/>
        <v>0</v>
      </c>
      <c r="V14" s="20">
        <f t="shared" si="8"/>
        <v>0</v>
      </c>
      <c r="W14" s="20">
        <f t="shared" si="8"/>
        <v>0</v>
      </c>
      <c r="X14" s="20">
        <f t="shared" si="8"/>
        <v>0</v>
      </c>
      <c r="Y14" s="20">
        <f t="shared" si="8"/>
        <v>0</v>
      </c>
      <c r="Z14" s="20">
        <f t="shared" si="8"/>
        <v>0</v>
      </c>
      <c r="AA14" s="20">
        <f t="shared" si="8"/>
        <v>0</v>
      </c>
      <c r="AB14" s="20">
        <f t="shared" si="8"/>
        <v>0</v>
      </c>
      <c r="AC14" s="20">
        <f t="shared" si="8"/>
        <v>0</v>
      </c>
      <c r="AD14" s="20">
        <f t="shared" si="8"/>
        <v>0</v>
      </c>
      <c r="AE14" s="20">
        <f t="shared" si="8"/>
        <v>0</v>
      </c>
      <c r="AF14" s="20">
        <f t="shared" si="8"/>
        <v>0</v>
      </c>
      <c r="AG14" s="20">
        <f t="shared" si="8"/>
        <v>0</v>
      </c>
      <c r="AH14" s="20">
        <f t="shared" si="8"/>
        <v>0</v>
      </c>
      <c r="AI14" s="20">
        <f t="shared" si="8"/>
        <v>0</v>
      </c>
    </row>
    <row r="15" spans="1:35" x14ac:dyDescent="0.2">
      <c r="A15" s="30">
        <v>5937</v>
      </c>
      <c r="B15" s="13" t="s">
        <v>930</v>
      </c>
      <c r="C15" s="20"/>
      <c r="D15" s="20">
        <f t="shared" ref="D15:AI15" si="9">+D59+D80</f>
        <v>7825</v>
      </c>
      <c r="E15" s="20">
        <f t="shared" si="9"/>
        <v>7675</v>
      </c>
      <c r="F15" s="20">
        <f t="shared" si="9"/>
        <v>7525</v>
      </c>
      <c r="G15" s="20">
        <f t="shared" si="9"/>
        <v>7375</v>
      </c>
      <c r="H15" s="20">
        <f t="shared" si="9"/>
        <v>7225</v>
      </c>
      <c r="I15" s="20">
        <f t="shared" si="9"/>
        <v>7075</v>
      </c>
      <c r="J15" s="20">
        <f t="shared" si="9"/>
        <v>6925</v>
      </c>
      <c r="K15" s="20">
        <f t="shared" si="9"/>
        <v>6738</v>
      </c>
      <c r="L15" s="20">
        <f t="shared" si="9"/>
        <v>6550</v>
      </c>
      <c r="M15" s="20">
        <f t="shared" si="9"/>
        <v>6363</v>
      </c>
      <c r="N15" s="20">
        <f t="shared" si="9"/>
        <v>6175</v>
      </c>
      <c r="O15" s="20">
        <f t="shared" si="9"/>
        <v>5988</v>
      </c>
      <c r="P15" s="20">
        <f t="shared" si="9"/>
        <v>5800</v>
      </c>
      <c r="Q15" s="20">
        <f t="shared" si="9"/>
        <v>5600</v>
      </c>
      <c r="R15" s="20">
        <f t="shared" si="9"/>
        <v>5400</v>
      </c>
      <c r="S15" s="20">
        <f t="shared" si="9"/>
        <v>5200</v>
      </c>
      <c r="T15" s="20">
        <f t="shared" si="9"/>
        <v>0</v>
      </c>
      <c r="U15" s="20">
        <f t="shared" si="9"/>
        <v>0</v>
      </c>
      <c r="V15" s="20">
        <f t="shared" si="9"/>
        <v>0</v>
      </c>
      <c r="W15" s="20">
        <f t="shared" si="9"/>
        <v>0</v>
      </c>
      <c r="X15" s="20">
        <f t="shared" si="9"/>
        <v>0</v>
      </c>
      <c r="Y15" s="20">
        <f t="shared" si="9"/>
        <v>0</v>
      </c>
      <c r="Z15" s="20">
        <f t="shared" si="9"/>
        <v>0</v>
      </c>
      <c r="AA15" s="20">
        <f t="shared" si="9"/>
        <v>0</v>
      </c>
      <c r="AB15" s="20">
        <f t="shared" si="9"/>
        <v>0</v>
      </c>
      <c r="AC15" s="20">
        <f t="shared" si="9"/>
        <v>0</v>
      </c>
      <c r="AD15" s="20">
        <f t="shared" si="9"/>
        <v>0</v>
      </c>
      <c r="AE15" s="20">
        <f t="shared" si="9"/>
        <v>0</v>
      </c>
      <c r="AF15" s="20">
        <f t="shared" si="9"/>
        <v>0</v>
      </c>
      <c r="AG15" s="20">
        <f t="shared" si="9"/>
        <v>0</v>
      </c>
      <c r="AH15" s="20">
        <f t="shared" si="9"/>
        <v>0</v>
      </c>
      <c r="AI15" s="20">
        <f t="shared" si="9"/>
        <v>0</v>
      </c>
    </row>
    <row r="16" spans="1:35" x14ac:dyDescent="0.2">
      <c r="A16" s="30">
        <v>5938</v>
      </c>
      <c r="B16" s="13" t="s">
        <v>760</v>
      </c>
      <c r="C16" s="20"/>
      <c r="D16" s="20">
        <f t="shared" ref="D16:AI16" si="10">+D60+D81</f>
        <v>10645</v>
      </c>
      <c r="E16" s="20">
        <f t="shared" si="10"/>
        <v>10430</v>
      </c>
      <c r="F16" s="20">
        <f t="shared" si="10"/>
        <v>10215</v>
      </c>
      <c r="G16" s="20">
        <f t="shared" si="10"/>
        <v>0</v>
      </c>
      <c r="H16" s="20">
        <f t="shared" si="10"/>
        <v>0</v>
      </c>
      <c r="I16" s="20">
        <f t="shared" si="10"/>
        <v>0</v>
      </c>
      <c r="J16" s="20">
        <f t="shared" si="10"/>
        <v>0</v>
      </c>
      <c r="K16" s="20">
        <f t="shared" si="10"/>
        <v>0</v>
      </c>
      <c r="L16" s="20">
        <f t="shared" si="10"/>
        <v>0</v>
      </c>
      <c r="M16" s="20">
        <f t="shared" si="10"/>
        <v>0</v>
      </c>
      <c r="N16" s="20">
        <f t="shared" si="10"/>
        <v>0</v>
      </c>
      <c r="O16" s="20">
        <f t="shared" si="10"/>
        <v>0</v>
      </c>
      <c r="P16" s="20">
        <f t="shared" si="10"/>
        <v>0</v>
      </c>
      <c r="Q16" s="20">
        <f t="shared" si="10"/>
        <v>0</v>
      </c>
      <c r="R16" s="20">
        <f t="shared" si="10"/>
        <v>0</v>
      </c>
      <c r="S16" s="20">
        <f t="shared" si="10"/>
        <v>0</v>
      </c>
      <c r="T16" s="20">
        <f t="shared" si="10"/>
        <v>0</v>
      </c>
      <c r="U16" s="20">
        <f t="shared" si="10"/>
        <v>0</v>
      </c>
      <c r="V16" s="20">
        <f t="shared" si="10"/>
        <v>0</v>
      </c>
      <c r="W16" s="20">
        <f t="shared" si="10"/>
        <v>0</v>
      </c>
      <c r="X16" s="20">
        <f t="shared" si="10"/>
        <v>0</v>
      </c>
      <c r="Y16" s="20">
        <f t="shared" si="10"/>
        <v>0</v>
      </c>
      <c r="Z16" s="20">
        <f t="shared" si="10"/>
        <v>0</v>
      </c>
      <c r="AA16" s="20">
        <f t="shared" si="10"/>
        <v>0</v>
      </c>
      <c r="AB16" s="20">
        <f t="shared" si="10"/>
        <v>0</v>
      </c>
      <c r="AC16" s="20">
        <f t="shared" si="10"/>
        <v>0</v>
      </c>
      <c r="AD16" s="20">
        <f t="shared" si="10"/>
        <v>0</v>
      </c>
      <c r="AE16" s="20">
        <f t="shared" si="10"/>
        <v>0</v>
      </c>
      <c r="AF16" s="20">
        <f t="shared" si="10"/>
        <v>0</v>
      </c>
      <c r="AG16" s="20">
        <f t="shared" si="10"/>
        <v>0</v>
      </c>
      <c r="AH16" s="20">
        <f t="shared" si="10"/>
        <v>0</v>
      </c>
      <c r="AI16" s="20">
        <f t="shared" si="10"/>
        <v>0</v>
      </c>
    </row>
    <row r="17" spans="1:35" x14ac:dyDescent="0.2">
      <c r="A17" s="30">
        <v>5939</v>
      </c>
      <c r="B17" s="13" t="s">
        <v>761</v>
      </c>
      <c r="C17" s="20"/>
      <c r="D17" s="20">
        <f t="shared" ref="D17:AI17" si="11">+D61+D82</f>
        <v>10645</v>
      </c>
      <c r="E17" s="20">
        <f t="shared" si="11"/>
        <v>10430</v>
      </c>
      <c r="F17" s="20">
        <f t="shared" si="11"/>
        <v>10215</v>
      </c>
      <c r="G17" s="20">
        <f t="shared" si="11"/>
        <v>0</v>
      </c>
      <c r="H17" s="20">
        <f t="shared" si="11"/>
        <v>0</v>
      </c>
      <c r="I17" s="20">
        <f t="shared" si="11"/>
        <v>0</v>
      </c>
      <c r="J17" s="20">
        <f t="shared" si="11"/>
        <v>0</v>
      </c>
      <c r="K17" s="20">
        <f t="shared" si="11"/>
        <v>0</v>
      </c>
      <c r="L17" s="20">
        <f t="shared" si="11"/>
        <v>0</v>
      </c>
      <c r="M17" s="20">
        <f t="shared" si="11"/>
        <v>0</v>
      </c>
      <c r="N17" s="20">
        <f t="shared" si="11"/>
        <v>0</v>
      </c>
      <c r="O17" s="20">
        <f t="shared" si="11"/>
        <v>0</v>
      </c>
      <c r="P17" s="20">
        <f t="shared" si="11"/>
        <v>0</v>
      </c>
      <c r="Q17" s="20">
        <f t="shared" si="11"/>
        <v>0</v>
      </c>
      <c r="R17" s="20">
        <f t="shared" si="11"/>
        <v>0</v>
      </c>
      <c r="S17" s="20">
        <f t="shared" si="11"/>
        <v>0</v>
      </c>
      <c r="T17" s="20">
        <f t="shared" si="11"/>
        <v>0</v>
      </c>
      <c r="U17" s="20">
        <f t="shared" si="11"/>
        <v>0</v>
      </c>
      <c r="V17" s="20">
        <f t="shared" si="11"/>
        <v>0</v>
      </c>
      <c r="W17" s="20">
        <f t="shared" si="11"/>
        <v>0</v>
      </c>
      <c r="X17" s="20">
        <f t="shared" si="11"/>
        <v>0</v>
      </c>
      <c r="Y17" s="20">
        <f t="shared" si="11"/>
        <v>0</v>
      </c>
      <c r="Z17" s="20">
        <f t="shared" si="11"/>
        <v>0</v>
      </c>
      <c r="AA17" s="20">
        <f t="shared" si="11"/>
        <v>0</v>
      </c>
      <c r="AB17" s="20">
        <f t="shared" si="11"/>
        <v>0</v>
      </c>
      <c r="AC17" s="20">
        <f t="shared" si="11"/>
        <v>0</v>
      </c>
      <c r="AD17" s="20">
        <f t="shared" si="11"/>
        <v>0</v>
      </c>
      <c r="AE17" s="20">
        <f t="shared" si="11"/>
        <v>0</v>
      </c>
      <c r="AF17" s="20">
        <f t="shared" si="11"/>
        <v>0</v>
      </c>
      <c r="AG17" s="20">
        <f t="shared" si="11"/>
        <v>0</v>
      </c>
      <c r="AH17" s="20">
        <f t="shared" si="11"/>
        <v>0</v>
      </c>
      <c r="AI17" s="20">
        <f t="shared" si="11"/>
        <v>0</v>
      </c>
    </row>
    <row r="18" spans="1:35" x14ac:dyDescent="0.2">
      <c r="A18" s="30">
        <v>5944</v>
      </c>
      <c r="B18" s="13" t="s">
        <v>1036</v>
      </c>
      <c r="C18" s="20"/>
      <c r="D18" s="20">
        <f t="shared" ref="D18:AI18" si="12">+D62+D83</f>
        <v>0</v>
      </c>
      <c r="E18" s="20">
        <f t="shared" si="12"/>
        <v>0</v>
      </c>
      <c r="F18" s="20">
        <f t="shared" si="12"/>
        <v>0</v>
      </c>
      <c r="G18" s="20">
        <f t="shared" si="12"/>
        <v>0</v>
      </c>
      <c r="H18" s="20">
        <f t="shared" si="12"/>
        <v>0</v>
      </c>
      <c r="I18" s="20">
        <f t="shared" si="12"/>
        <v>0</v>
      </c>
      <c r="J18" s="20">
        <f t="shared" si="12"/>
        <v>0</v>
      </c>
      <c r="K18" s="20">
        <f t="shared" si="12"/>
        <v>0</v>
      </c>
      <c r="L18" s="20">
        <f t="shared" si="12"/>
        <v>0</v>
      </c>
      <c r="M18" s="20">
        <f t="shared" si="12"/>
        <v>0</v>
      </c>
      <c r="N18" s="20">
        <f t="shared" si="12"/>
        <v>0</v>
      </c>
      <c r="O18" s="20">
        <f t="shared" si="12"/>
        <v>0</v>
      </c>
      <c r="P18" s="20">
        <f t="shared" si="12"/>
        <v>0</v>
      </c>
      <c r="Q18" s="20">
        <f t="shared" si="12"/>
        <v>0</v>
      </c>
      <c r="R18" s="20">
        <f t="shared" si="12"/>
        <v>0</v>
      </c>
      <c r="S18" s="20">
        <f t="shared" si="12"/>
        <v>0</v>
      </c>
      <c r="T18" s="20">
        <f t="shared" si="12"/>
        <v>0</v>
      </c>
      <c r="U18" s="20">
        <f t="shared" si="12"/>
        <v>0</v>
      </c>
      <c r="V18" s="20">
        <f t="shared" si="12"/>
        <v>0</v>
      </c>
      <c r="W18" s="20">
        <f t="shared" si="12"/>
        <v>0</v>
      </c>
      <c r="X18" s="20">
        <f t="shared" si="12"/>
        <v>0</v>
      </c>
      <c r="Y18" s="20">
        <f t="shared" si="12"/>
        <v>0</v>
      </c>
      <c r="Z18" s="20">
        <f t="shared" si="12"/>
        <v>0</v>
      </c>
      <c r="AA18" s="20">
        <f t="shared" si="12"/>
        <v>0</v>
      </c>
      <c r="AB18" s="20">
        <f t="shared" si="12"/>
        <v>0</v>
      </c>
      <c r="AC18" s="20">
        <f t="shared" si="12"/>
        <v>0</v>
      </c>
      <c r="AD18" s="20">
        <f t="shared" si="12"/>
        <v>0</v>
      </c>
      <c r="AE18" s="20">
        <f t="shared" si="12"/>
        <v>0</v>
      </c>
      <c r="AF18" s="20">
        <f t="shared" si="12"/>
        <v>0</v>
      </c>
      <c r="AG18" s="20">
        <f t="shared" si="12"/>
        <v>0</v>
      </c>
      <c r="AH18" s="20">
        <f t="shared" si="12"/>
        <v>0</v>
      </c>
      <c r="AI18" s="20">
        <f t="shared" si="12"/>
        <v>0</v>
      </c>
    </row>
    <row r="19" spans="1:35" x14ac:dyDescent="0.2">
      <c r="A19" s="30">
        <v>5947</v>
      </c>
      <c r="B19" s="13" t="s">
        <v>1102</v>
      </c>
      <c r="C19" s="20"/>
      <c r="D19" s="20">
        <f t="shared" ref="D19:AI19" si="13">+D63+D83</f>
        <v>3100</v>
      </c>
      <c r="E19" s="20">
        <f t="shared" si="13"/>
        <v>0</v>
      </c>
      <c r="F19" s="20">
        <f t="shared" si="13"/>
        <v>0</v>
      </c>
      <c r="G19" s="20">
        <f t="shared" si="13"/>
        <v>0</v>
      </c>
      <c r="H19" s="20">
        <f t="shared" si="13"/>
        <v>0</v>
      </c>
      <c r="I19" s="20">
        <f t="shared" si="13"/>
        <v>0</v>
      </c>
      <c r="J19" s="20">
        <f t="shared" si="13"/>
        <v>0</v>
      </c>
      <c r="K19" s="20">
        <f t="shared" si="13"/>
        <v>0</v>
      </c>
      <c r="L19" s="20">
        <f t="shared" si="13"/>
        <v>0</v>
      </c>
      <c r="M19" s="20">
        <f t="shared" si="13"/>
        <v>0</v>
      </c>
      <c r="N19" s="20">
        <f t="shared" si="13"/>
        <v>0</v>
      </c>
      <c r="O19" s="20">
        <f t="shared" si="13"/>
        <v>0</v>
      </c>
      <c r="P19" s="20">
        <f t="shared" si="13"/>
        <v>0</v>
      </c>
      <c r="Q19" s="20">
        <f t="shared" si="13"/>
        <v>0</v>
      </c>
      <c r="R19" s="20">
        <f t="shared" si="13"/>
        <v>0</v>
      </c>
      <c r="S19" s="20">
        <f t="shared" si="13"/>
        <v>0</v>
      </c>
      <c r="T19" s="20">
        <f t="shared" si="13"/>
        <v>0</v>
      </c>
      <c r="U19" s="20">
        <f t="shared" si="13"/>
        <v>0</v>
      </c>
      <c r="V19" s="20">
        <f t="shared" si="13"/>
        <v>0</v>
      </c>
      <c r="W19" s="20">
        <f t="shared" si="13"/>
        <v>0</v>
      </c>
      <c r="X19" s="20">
        <f t="shared" si="13"/>
        <v>0</v>
      </c>
      <c r="Y19" s="20">
        <f t="shared" si="13"/>
        <v>0</v>
      </c>
      <c r="Z19" s="20">
        <f t="shared" si="13"/>
        <v>0</v>
      </c>
      <c r="AA19" s="20">
        <f t="shared" si="13"/>
        <v>0</v>
      </c>
      <c r="AB19" s="20">
        <f t="shared" si="13"/>
        <v>0</v>
      </c>
      <c r="AC19" s="20">
        <f t="shared" si="13"/>
        <v>0</v>
      </c>
      <c r="AD19" s="20">
        <f t="shared" si="13"/>
        <v>0</v>
      </c>
      <c r="AE19" s="20">
        <f t="shared" si="13"/>
        <v>0</v>
      </c>
      <c r="AF19" s="20">
        <f t="shared" si="13"/>
        <v>0</v>
      </c>
      <c r="AG19" s="20">
        <f t="shared" si="13"/>
        <v>0</v>
      </c>
      <c r="AH19" s="20">
        <f t="shared" si="13"/>
        <v>0</v>
      </c>
      <c r="AI19" s="20">
        <f t="shared" si="13"/>
        <v>0</v>
      </c>
    </row>
    <row r="20" spans="1:35" x14ac:dyDescent="0.2">
      <c r="A20" s="30"/>
      <c r="B20" s="31"/>
      <c r="C20" s="20"/>
      <c r="D20" s="20">
        <f>+D64+D84</f>
        <v>0</v>
      </c>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row>
    <row r="21" spans="1:35" x14ac:dyDescent="0.2">
      <c r="A21" s="30"/>
      <c r="B21" s="31" t="s">
        <v>1117</v>
      </c>
      <c r="C21" s="20"/>
      <c r="D21" s="20">
        <f>+D65+D86</f>
        <v>132560</v>
      </c>
      <c r="E21" s="20">
        <f t="shared" ref="E21:AI21" si="14">+E65+E86</f>
        <v>128312</v>
      </c>
      <c r="F21" s="20">
        <f t="shared" si="14"/>
        <v>124016</v>
      </c>
      <c r="G21" s="20">
        <f t="shared" si="14"/>
        <v>119719</v>
      </c>
      <c r="H21" s="20">
        <f t="shared" si="14"/>
        <v>115325</v>
      </c>
      <c r="I21" s="20">
        <f t="shared" si="14"/>
        <v>110930</v>
      </c>
      <c r="J21" s="20">
        <f t="shared" si="14"/>
        <v>106536</v>
      </c>
      <c r="K21" s="20">
        <f t="shared" si="14"/>
        <v>102142</v>
      </c>
      <c r="L21" s="20">
        <f t="shared" si="14"/>
        <v>0</v>
      </c>
      <c r="M21" s="20">
        <f t="shared" si="14"/>
        <v>0</v>
      </c>
      <c r="N21" s="20">
        <f t="shared" si="14"/>
        <v>0</v>
      </c>
      <c r="O21" s="20">
        <f t="shared" si="14"/>
        <v>0</v>
      </c>
      <c r="P21" s="20">
        <f t="shared" si="14"/>
        <v>0</v>
      </c>
      <c r="Q21" s="20">
        <f t="shared" si="14"/>
        <v>0</v>
      </c>
      <c r="R21" s="20">
        <f t="shared" si="14"/>
        <v>0</v>
      </c>
      <c r="S21" s="20">
        <f t="shared" si="14"/>
        <v>0</v>
      </c>
      <c r="T21" s="20">
        <f t="shared" si="14"/>
        <v>0</v>
      </c>
      <c r="U21" s="20">
        <f t="shared" si="14"/>
        <v>0</v>
      </c>
      <c r="V21" s="20">
        <f t="shared" si="14"/>
        <v>0</v>
      </c>
      <c r="W21" s="20">
        <f t="shared" si="14"/>
        <v>0</v>
      </c>
      <c r="X21" s="20">
        <f t="shared" si="14"/>
        <v>0</v>
      </c>
      <c r="Y21" s="20">
        <f t="shared" si="14"/>
        <v>0</v>
      </c>
      <c r="Z21" s="20">
        <f t="shared" si="14"/>
        <v>0</v>
      </c>
      <c r="AA21" s="20">
        <f t="shared" si="14"/>
        <v>0</v>
      </c>
      <c r="AB21" s="20">
        <f t="shared" si="14"/>
        <v>0</v>
      </c>
      <c r="AC21" s="20">
        <f t="shared" si="14"/>
        <v>0</v>
      </c>
      <c r="AD21" s="20">
        <f t="shared" si="14"/>
        <v>0</v>
      </c>
      <c r="AE21" s="20">
        <f t="shared" si="14"/>
        <v>0</v>
      </c>
      <c r="AF21" s="20">
        <f t="shared" si="14"/>
        <v>0</v>
      </c>
      <c r="AG21" s="20">
        <f t="shared" si="14"/>
        <v>0</v>
      </c>
      <c r="AH21" s="20">
        <f t="shared" si="14"/>
        <v>0</v>
      </c>
      <c r="AI21" s="20">
        <f t="shared" si="14"/>
        <v>0</v>
      </c>
    </row>
    <row r="22" spans="1:35" x14ac:dyDescent="0.2">
      <c r="A22" s="30"/>
      <c r="B22" s="31" t="s">
        <v>1106</v>
      </c>
      <c r="C22" s="20"/>
      <c r="D22" s="20">
        <f>+D66+D87</f>
        <v>66552</v>
      </c>
      <c r="E22" s="20">
        <f t="shared" ref="E22:AI22" si="15">+E66+E87</f>
        <v>64914</v>
      </c>
      <c r="F22" s="20">
        <f t="shared" si="15"/>
        <v>63276</v>
      </c>
      <c r="G22" s="20">
        <f t="shared" si="15"/>
        <v>61638</v>
      </c>
      <c r="H22" s="20">
        <f t="shared" si="15"/>
        <v>0</v>
      </c>
      <c r="I22" s="20">
        <f t="shared" si="15"/>
        <v>0</v>
      </c>
      <c r="J22" s="20">
        <f t="shared" si="15"/>
        <v>0</v>
      </c>
      <c r="K22" s="20">
        <f t="shared" si="15"/>
        <v>0</v>
      </c>
      <c r="L22" s="20">
        <f t="shared" si="15"/>
        <v>0</v>
      </c>
      <c r="M22" s="20">
        <f t="shared" si="15"/>
        <v>0</v>
      </c>
      <c r="N22" s="20">
        <f t="shared" si="15"/>
        <v>0</v>
      </c>
      <c r="O22" s="20">
        <f t="shared" si="15"/>
        <v>0</v>
      </c>
      <c r="P22" s="20">
        <f t="shared" si="15"/>
        <v>0</v>
      </c>
      <c r="Q22" s="20">
        <f t="shared" si="15"/>
        <v>0</v>
      </c>
      <c r="R22" s="20">
        <f t="shared" si="15"/>
        <v>0</v>
      </c>
      <c r="S22" s="20">
        <f t="shared" si="15"/>
        <v>0</v>
      </c>
      <c r="T22" s="20">
        <f t="shared" si="15"/>
        <v>0</v>
      </c>
      <c r="U22" s="20">
        <f t="shared" si="15"/>
        <v>0</v>
      </c>
      <c r="V22" s="20">
        <f t="shared" si="15"/>
        <v>0</v>
      </c>
      <c r="W22" s="20">
        <f t="shared" si="15"/>
        <v>0</v>
      </c>
      <c r="X22" s="20">
        <f t="shared" si="15"/>
        <v>0</v>
      </c>
      <c r="Y22" s="20">
        <f t="shared" si="15"/>
        <v>0</v>
      </c>
      <c r="Z22" s="20">
        <f t="shared" si="15"/>
        <v>0</v>
      </c>
      <c r="AA22" s="20">
        <f t="shared" si="15"/>
        <v>0</v>
      </c>
      <c r="AB22" s="20">
        <f t="shared" si="15"/>
        <v>0</v>
      </c>
      <c r="AC22" s="20">
        <f t="shared" si="15"/>
        <v>0</v>
      </c>
      <c r="AD22" s="20">
        <f t="shared" si="15"/>
        <v>0</v>
      </c>
      <c r="AE22" s="20">
        <f t="shared" si="15"/>
        <v>0</v>
      </c>
      <c r="AF22" s="20">
        <f t="shared" si="15"/>
        <v>0</v>
      </c>
      <c r="AG22" s="20">
        <f t="shared" si="15"/>
        <v>0</v>
      </c>
      <c r="AH22" s="20">
        <f t="shared" si="15"/>
        <v>0</v>
      </c>
      <c r="AI22" s="20">
        <f t="shared" si="15"/>
        <v>0</v>
      </c>
    </row>
    <row r="23" spans="1:35" ht="13.5" thickBot="1" x14ac:dyDescent="0.25">
      <c r="A23" s="30"/>
      <c r="B23" s="31"/>
      <c r="C23" s="20"/>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row>
    <row r="24" spans="1:35" ht="13.5" thickBot="1" x14ac:dyDescent="0.25">
      <c r="A24" s="30"/>
      <c r="B24" s="31" t="s">
        <v>1115</v>
      </c>
      <c r="C24" s="20"/>
      <c r="D24" s="649">
        <f t="shared" ref="D24:AI24" si="16">SUM(D6:D23)</f>
        <v>808886</v>
      </c>
      <c r="E24" s="649">
        <f t="shared" si="16"/>
        <v>795496</v>
      </c>
      <c r="F24" s="649">
        <f t="shared" si="16"/>
        <v>751060</v>
      </c>
      <c r="G24" s="649">
        <f t="shared" si="16"/>
        <v>721554</v>
      </c>
      <c r="H24" s="649">
        <f t="shared" si="16"/>
        <v>657205</v>
      </c>
      <c r="I24" s="649">
        <f t="shared" si="16"/>
        <v>653889</v>
      </c>
      <c r="J24" s="649">
        <f t="shared" si="16"/>
        <v>649934</v>
      </c>
      <c r="K24" s="649">
        <f t="shared" si="16"/>
        <v>644510</v>
      </c>
      <c r="L24" s="649">
        <f t="shared" si="16"/>
        <v>539903</v>
      </c>
      <c r="M24" s="649">
        <f t="shared" si="16"/>
        <v>513151</v>
      </c>
      <c r="N24" s="649">
        <f t="shared" si="16"/>
        <v>93693</v>
      </c>
      <c r="O24" s="649">
        <f t="shared" si="16"/>
        <v>93464</v>
      </c>
      <c r="P24" s="649">
        <f t="shared" si="16"/>
        <v>93230</v>
      </c>
      <c r="Q24" s="649">
        <f t="shared" si="16"/>
        <v>92986</v>
      </c>
      <c r="R24" s="649">
        <f t="shared" si="16"/>
        <v>92737</v>
      </c>
      <c r="S24" s="649">
        <f t="shared" si="16"/>
        <v>84228</v>
      </c>
      <c r="T24" s="649">
        <f t="shared" si="16"/>
        <v>78979</v>
      </c>
      <c r="U24" s="649">
        <f t="shared" si="16"/>
        <v>78929</v>
      </c>
      <c r="V24" s="649">
        <f t="shared" si="16"/>
        <v>78877</v>
      </c>
      <c r="W24" s="649">
        <f t="shared" si="16"/>
        <v>78824</v>
      </c>
      <c r="X24" s="649">
        <f t="shared" si="16"/>
        <v>42923</v>
      </c>
      <c r="Y24" s="649">
        <f t="shared" si="16"/>
        <v>42923</v>
      </c>
      <c r="Z24" s="649">
        <f t="shared" si="16"/>
        <v>42924</v>
      </c>
      <c r="AA24" s="649">
        <f t="shared" si="16"/>
        <v>42923</v>
      </c>
      <c r="AB24" s="649">
        <f t="shared" si="16"/>
        <v>42924</v>
      </c>
      <c r="AC24" s="649">
        <f t="shared" si="16"/>
        <v>42923</v>
      </c>
      <c r="AD24" s="649">
        <f t="shared" si="16"/>
        <v>42923</v>
      </c>
      <c r="AE24" s="649">
        <f t="shared" si="16"/>
        <v>42854</v>
      </c>
      <c r="AF24" s="649">
        <f t="shared" si="16"/>
        <v>20621</v>
      </c>
      <c r="AG24" s="649">
        <f t="shared" si="16"/>
        <v>20497</v>
      </c>
      <c r="AH24" s="649">
        <f t="shared" si="16"/>
        <v>0</v>
      </c>
      <c r="AI24" s="649">
        <f t="shared" si="16"/>
        <v>0</v>
      </c>
    </row>
    <row r="25" spans="1:35" x14ac:dyDescent="0.2">
      <c r="A25" s="30"/>
      <c r="B25" s="31"/>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row>
    <row r="26" spans="1:35" x14ac:dyDescent="0.2">
      <c r="B26" s="648" t="s">
        <v>1116</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row>
    <row r="27" spans="1:35" x14ac:dyDescent="0.2">
      <c r="A27" s="30"/>
      <c r="B27" s="31"/>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row>
    <row r="28" spans="1:35" x14ac:dyDescent="0.2">
      <c r="A28" s="12" t="s">
        <v>511</v>
      </c>
      <c r="B28" s="13" t="s">
        <v>519</v>
      </c>
      <c r="C28" s="20"/>
      <c r="D28" s="20">
        <f t="shared" ref="D28:AI28" si="17">+D92+D109</f>
        <v>36675</v>
      </c>
      <c r="E28" s="20">
        <f t="shared" si="17"/>
        <v>35250</v>
      </c>
      <c r="F28" s="20">
        <f t="shared" si="17"/>
        <v>28750</v>
      </c>
      <c r="G28" s="20">
        <f t="shared" si="17"/>
        <v>27500</v>
      </c>
      <c r="H28" s="20">
        <f t="shared" si="17"/>
        <v>26250</v>
      </c>
      <c r="I28" s="20">
        <f t="shared" si="17"/>
        <v>0</v>
      </c>
      <c r="J28" s="20">
        <f t="shared" si="17"/>
        <v>0</v>
      </c>
      <c r="K28" s="20">
        <f t="shared" si="17"/>
        <v>0</v>
      </c>
      <c r="L28" s="20">
        <f t="shared" si="17"/>
        <v>0</v>
      </c>
      <c r="M28" s="20">
        <f t="shared" si="17"/>
        <v>0</v>
      </c>
      <c r="N28" s="20">
        <f t="shared" si="17"/>
        <v>0</v>
      </c>
      <c r="O28" s="20">
        <f t="shared" si="17"/>
        <v>0</v>
      </c>
      <c r="P28" s="20">
        <f t="shared" si="17"/>
        <v>0</v>
      </c>
      <c r="Q28" s="20">
        <f t="shared" si="17"/>
        <v>0</v>
      </c>
      <c r="R28" s="20">
        <f t="shared" si="17"/>
        <v>0</v>
      </c>
      <c r="S28" s="20">
        <f t="shared" si="17"/>
        <v>0</v>
      </c>
      <c r="T28" s="20">
        <f t="shared" si="17"/>
        <v>0</v>
      </c>
      <c r="U28" s="20">
        <f t="shared" si="17"/>
        <v>0</v>
      </c>
      <c r="V28" s="20">
        <f t="shared" si="17"/>
        <v>0</v>
      </c>
      <c r="W28" s="20">
        <f t="shared" si="17"/>
        <v>0</v>
      </c>
      <c r="X28" s="20">
        <f t="shared" si="17"/>
        <v>0</v>
      </c>
      <c r="Y28" s="20">
        <f t="shared" si="17"/>
        <v>0</v>
      </c>
      <c r="Z28" s="20">
        <f t="shared" si="17"/>
        <v>0</v>
      </c>
      <c r="AA28" s="20">
        <f t="shared" si="17"/>
        <v>0</v>
      </c>
      <c r="AB28" s="20">
        <f t="shared" si="17"/>
        <v>0</v>
      </c>
      <c r="AC28" s="20">
        <f t="shared" si="17"/>
        <v>0</v>
      </c>
      <c r="AD28" s="20">
        <f t="shared" si="17"/>
        <v>0</v>
      </c>
      <c r="AE28" s="20">
        <f t="shared" si="17"/>
        <v>0</v>
      </c>
      <c r="AF28" s="20">
        <f t="shared" si="17"/>
        <v>0</v>
      </c>
      <c r="AG28" s="20">
        <f t="shared" si="17"/>
        <v>0</v>
      </c>
      <c r="AH28" s="20">
        <f t="shared" si="17"/>
        <v>0</v>
      </c>
      <c r="AI28" s="20">
        <f t="shared" si="17"/>
        <v>0</v>
      </c>
    </row>
    <row r="29" spans="1:35" x14ac:dyDescent="0.2">
      <c r="A29" s="12" t="s">
        <v>515</v>
      </c>
      <c r="B29" s="13" t="s">
        <v>520</v>
      </c>
      <c r="C29" s="20"/>
      <c r="D29" s="20">
        <f t="shared" ref="D29:AI29" si="18">+D93+D110</f>
        <v>5988</v>
      </c>
      <c r="E29" s="20">
        <f t="shared" si="18"/>
        <v>5750</v>
      </c>
      <c r="F29" s="20">
        <f t="shared" si="18"/>
        <v>5500</v>
      </c>
      <c r="G29" s="20">
        <f t="shared" si="18"/>
        <v>5250</v>
      </c>
      <c r="H29" s="20">
        <f t="shared" si="18"/>
        <v>0</v>
      </c>
      <c r="I29" s="20">
        <f t="shared" si="18"/>
        <v>0</v>
      </c>
      <c r="J29" s="20">
        <f t="shared" si="18"/>
        <v>0</v>
      </c>
      <c r="K29" s="20">
        <f t="shared" si="18"/>
        <v>0</v>
      </c>
      <c r="L29" s="20">
        <f t="shared" si="18"/>
        <v>0</v>
      </c>
      <c r="M29" s="20">
        <f t="shared" si="18"/>
        <v>0</v>
      </c>
      <c r="N29" s="20">
        <f t="shared" si="18"/>
        <v>0</v>
      </c>
      <c r="O29" s="20">
        <f t="shared" si="18"/>
        <v>0</v>
      </c>
      <c r="P29" s="20">
        <f t="shared" si="18"/>
        <v>0</v>
      </c>
      <c r="Q29" s="20">
        <f t="shared" si="18"/>
        <v>0</v>
      </c>
      <c r="R29" s="20">
        <f t="shared" si="18"/>
        <v>0</v>
      </c>
      <c r="S29" s="20">
        <f t="shared" si="18"/>
        <v>0</v>
      </c>
      <c r="T29" s="20">
        <f t="shared" si="18"/>
        <v>0</v>
      </c>
      <c r="U29" s="20">
        <f t="shared" si="18"/>
        <v>0</v>
      </c>
      <c r="V29" s="20">
        <f t="shared" si="18"/>
        <v>0</v>
      </c>
      <c r="W29" s="20">
        <f t="shared" si="18"/>
        <v>0</v>
      </c>
      <c r="X29" s="20">
        <f t="shared" si="18"/>
        <v>0</v>
      </c>
      <c r="Y29" s="20">
        <f t="shared" si="18"/>
        <v>0</v>
      </c>
      <c r="Z29" s="20">
        <f t="shared" si="18"/>
        <v>0</v>
      </c>
      <c r="AA29" s="20">
        <f t="shared" si="18"/>
        <v>0</v>
      </c>
      <c r="AB29" s="20">
        <f t="shared" si="18"/>
        <v>0</v>
      </c>
      <c r="AC29" s="20">
        <f t="shared" si="18"/>
        <v>0</v>
      </c>
      <c r="AD29" s="20">
        <f t="shared" si="18"/>
        <v>0</v>
      </c>
      <c r="AE29" s="20">
        <f t="shared" si="18"/>
        <v>0</v>
      </c>
      <c r="AF29" s="20">
        <f t="shared" si="18"/>
        <v>0</v>
      </c>
      <c r="AG29" s="20">
        <f t="shared" si="18"/>
        <v>0</v>
      </c>
      <c r="AH29" s="20">
        <f t="shared" si="18"/>
        <v>0</v>
      </c>
      <c r="AI29" s="20">
        <f t="shared" si="18"/>
        <v>0</v>
      </c>
    </row>
    <row r="30" spans="1:35" x14ac:dyDescent="0.2">
      <c r="A30" s="12" t="s">
        <v>395</v>
      </c>
      <c r="B30" s="13" t="s">
        <v>389</v>
      </c>
      <c r="C30" s="20"/>
      <c r="D30" s="20">
        <f>+D95+D113</f>
        <v>18900</v>
      </c>
      <c r="E30" s="20">
        <f t="shared" ref="E30:AI30" si="19">+E95+E112</f>
        <v>15000</v>
      </c>
      <c r="F30" s="20">
        <f t="shared" si="19"/>
        <v>15000</v>
      </c>
      <c r="G30" s="20">
        <f t="shared" si="19"/>
        <v>10000</v>
      </c>
      <c r="H30" s="20">
        <f t="shared" si="19"/>
        <v>10000</v>
      </c>
      <c r="I30" s="20">
        <f t="shared" si="19"/>
        <v>10000</v>
      </c>
      <c r="J30" s="20">
        <f t="shared" si="19"/>
        <v>10000</v>
      </c>
      <c r="K30" s="20">
        <f t="shared" si="19"/>
        <v>10000</v>
      </c>
      <c r="L30" s="20">
        <f t="shared" si="19"/>
        <v>10000</v>
      </c>
      <c r="M30" s="20">
        <f t="shared" si="19"/>
        <v>0</v>
      </c>
      <c r="N30" s="20">
        <f t="shared" si="19"/>
        <v>0</v>
      </c>
      <c r="O30" s="20">
        <f t="shared" si="19"/>
        <v>0</v>
      </c>
      <c r="P30" s="20">
        <f t="shared" si="19"/>
        <v>0</v>
      </c>
      <c r="Q30" s="20">
        <f t="shared" si="19"/>
        <v>0</v>
      </c>
      <c r="R30" s="20">
        <f t="shared" si="19"/>
        <v>0</v>
      </c>
      <c r="S30" s="20">
        <f t="shared" si="19"/>
        <v>0</v>
      </c>
      <c r="T30" s="20">
        <f t="shared" si="19"/>
        <v>0</v>
      </c>
      <c r="U30" s="20">
        <f t="shared" si="19"/>
        <v>0</v>
      </c>
      <c r="V30" s="20">
        <f t="shared" si="19"/>
        <v>0</v>
      </c>
      <c r="W30" s="20">
        <f t="shared" si="19"/>
        <v>0</v>
      </c>
      <c r="X30" s="20">
        <f t="shared" si="19"/>
        <v>0</v>
      </c>
      <c r="Y30" s="20">
        <f t="shared" si="19"/>
        <v>0</v>
      </c>
      <c r="Z30" s="20">
        <f t="shared" si="19"/>
        <v>0</v>
      </c>
      <c r="AA30" s="20">
        <f t="shared" si="19"/>
        <v>0</v>
      </c>
      <c r="AB30" s="20">
        <f t="shared" si="19"/>
        <v>0</v>
      </c>
      <c r="AC30" s="20">
        <f t="shared" si="19"/>
        <v>0</v>
      </c>
      <c r="AD30" s="20">
        <f t="shared" si="19"/>
        <v>0</v>
      </c>
      <c r="AE30" s="20">
        <f t="shared" si="19"/>
        <v>0</v>
      </c>
      <c r="AF30" s="20">
        <f t="shared" si="19"/>
        <v>0</v>
      </c>
      <c r="AG30" s="20">
        <f t="shared" si="19"/>
        <v>0</v>
      </c>
      <c r="AH30" s="20">
        <f t="shared" si="19"/>
        <v>0</v>
      </c>
      <c r="AI30" s="20">
        <f t="shared" si="19"/>
        <v>0</v>
      </c>
    </row>
    <row r="31" spans="1:35" x14ac:dyDescent="0.2">
      <c r="A31" s="12" t="s">
        <v>582</v>
      </c>
      <c r="B31" s="69" t="s">
        <v>36</v>
      </c>
      <c r="C31" s="20"/>
      <c r="D31" s="20">
        <f>+D96+D114+D115</f>
        <v>35318</v>
      </c>
      <c r="E31" s="20">
        <f t="shared" ref="E31:AI31" si="20">+E96+E114+E115</f>
        <v>35273</v>
      </c>
      <c r="F31" s="20">
        <f t="shared" si="20"/>
        <v>35715</v>
      </c>
      <c r="G31" s="20">
        <f t="shared" si="20"/>
        <v>35182</v>
      </c>
      <c r="H31" s="20">
        <f t="shared" si="20"/>
        <v>35136</v>
      </c>
      <c r="I31" s="20">
        <f t="shared" si="20"/>
        <v>35086</v>
      </c>
      <c r="J31" s="20">
        <f t="shared" si="20"/>
        <v>35037</v>
      </c>
      <c r="K31" s="20">
        <f t="shared" si="20"/>
        <v>34985</v>
      </c>
      <c r="L31" s="20">
        <f t="shared" si="20"/>
        <v>35175</v>
      </c>
      <c r="M31" s="20">
        <f t="shared" si="20"/>
        <v>0</v>
      </c>
      <c r="N31" s="20">
        <f t="shared" si="20"/>
        <v>0</v>
      </c>
      <c r="O31" s="20">
        <f t="shared" si="20"/>
        <v>0</v>
      </c>
      <c r="P31" s="20">
        <f t="shared" si="20"/>
        <v>0</v>
      </c>
      <c r="Q31" s="20">
        <f t="shared" si="20"/>
        <v>0</v>
      </c>
      <c r="R31" s="20">
        <f t="shared" si="20"/>
        <v>0</v>
      </c>
      <c r="S31" s="20">
        <f t="shared" si="20"/>
        <v>0</v>
      </c>
      <c r="T31" s="20">
        <f t="shared" si="20"/>
        <v>0</v>
      </c>
      <c r="U31" s="20">
        <f t="shared" si="20"/>
        <v>0</v>
      </c>
      <c r="V31" s="20">
        <f t="shared" si="20"/>
        <v>0</v>
      </c>
      <c r="W31" s="20">
        <f t="shared" si="20"/>
        <v>0</v>
      </c>
      <c r="X31" s="20">
        <f t="shared" si="20"/>
        <v>0</v>
      </c>
      <c r="Y31" s="20">
        <f t="shared" si="20"/>
        <v>0</v>
      </c>
      <c r="Z31" s="20">
        <f t="shared" si="20"/>
        <v>0</v>
      </c>
      <c r="AA31" s="20">
        <f t="shared" si="20"/>
        <v>0</v>
      </c>
      <c r="AB31" s="20">
        <f t="shared" si="20"/>
        <v>0</v>
      </c>
      <c r="AC31" s="20">
        <f t="shared" si="20"/>
        <v>0</v>
      </c>
      <c r="AD31" s="20">
        <f t="shared" si="20"/>
        <v>0</v>
      </c>
      <c r="AE31" s="20">
        <f t="shared" si="20"/>
        <v>0</v>
      </c>
      <c r="AF31" s="20">
        <f t="shared" si="20"/>
        <v>0</v>
      </c>
      <c r="AG31" s="20">
        <f t="shared" si="20"/>
        <v>0</v>
      </c>
      <c r="AH31" s="20">
        <f t="shared" si="20"/>
        <v>0</v>
      </c>
      <c r="AI31" s="20">
        <f t="shared" si="20"/>
        <v>0</v>
      </c>
    </row>
    <row r="32" spans="1:35" x14ac:dyDescent="0.2">
      <c r="A32" s="12" t="s">
        <v>583</v>
      </c>
      <c r="B32" s="69" t="s">
        <v>37</v>
      </c>
      <c r="C32" s="20"/>
      <c r="D32" s="20">
        <f>+D168+D175+D176</f>
        <v>55068</v>
      </c>
      <c r="E32" s="20">
        <f t="shared" ref="E32:AI32" si="21">+E168+E175+E176</f>
        <v>55016</v>
      </c>
      <c r="F32" s="20">
        <f t="shared" si="21"/>
        <v>54964</v>
      </c>
      <c r="G32" s="20">
        <f t="shared" si="21"/>
        <v>54911</v>
      </c>
      <c r="H32" s="20">
        <f t="shared" si="21"/>
        <v>54855</v>
      </c>
      <c r="I32" s="20">
        <f t="shared" si="21"/>
        <v>54799</v>
      </c>
      <c r="J32" s="20">
        <f t="shared" si="21"/>
        <v>54682</v>
      </c>
      <c r="K32" s="20">
        <f t="shared" si="21"/>
        <v>54683</v>
      </c>
      <c r="L32" s="20">
        <f t="shared" si="21"/>
        <v>54622</v>
      </c>
      <c r="M32" s="20">
        <f t="shared" si="21"/>
        <v>54560</v>
      </c>
      <c r="N32" s="20">
        <f t="shared" si="21"/>
        <v>54497</v>
      </c>
      <c r="O32" s="20">
        <f t="shared" si="21"/>
        <v>54432</v>
      </c>
      <c r="P32" s="20">
        <f t="shared" si="21"/>
        <v>54366</v>
      </c>
      <c r="Q32" s="20">
        <f t="shared" si="21"/>
        <v>54297</v>
      </c>
      <c r="R32" s="20">
        <f t="shared" si="21"/>
        <v>54228</v>
      </c>
      <c r="S32" s="20">
        <f t="shared" si="21"/>
        <v>54155</v>
      </c>
      <c r="T32" s="20">
        <f t="shared" si="21"/>
        <v>54083</v>
      </c>
      <c r="U32" s="20">
        <f t="shared" si="21"/>
        <v>54007</v>
      </c>
      <c r="V32" s="20">
        <f t="shared" si="21"/>
        <v>53930</v>
      </c>
      <c r="W32" s="20">
        <f t="shared" si="21"/>
        <v>53852</v>
      </c>
      <c r="X32" s="20">
        <f t="shared" si="21"/>
        <v>0</v>
      </c>
      <c r="Y32" s="20">
        <f t="shared" si="21"/>
        <v>0</v>
      </c>
      <c r="Z32" s="20">
        <f t="shared" si="21"/>
        <v>0</v>
      </c>
      <c r="AA32" s="20">
        <f t="shared" si="21"/>
        <v>0</v>
      </c>
      <c r="AB32" s="20">
        <f t="shared" si="21"/>
        <v>0</v>
      </c>
      <c r="AC32" s="20">
        <f t="shared" si="21"/>
        <v>0</v>
      </c>
      <c r="AD32" s="20">
        <f t="shared" si="21"/>
        <v>0</v>
      </c>
      <c r="AE32" s="20">
        <f t="shared" si="21"/>
        <v>0</v>
      </c>
      <c r="AF32" s="20">
        <f t="shared" si="21"/>
        <v>0</v>
      </c>
      <c r="AG32" s="20">
        <f t="shared" si="21"/>
        <v>0</v>
      </c>
      <c r="AH32" s="20">
        <f t="shared" si="21"/>
        <v>0</v>
      </c>
      <c r="AI32" s="20">
        <f t="shared" si="21"/>
        <v>0</v>
      </c>
    </row>
    <row r="33" spans="1:35" x14ac:dyDescent="0.2">
      <c r="A33" s="12" t="s">
        <v>584</v>
      </c>
      <c r="B33" s="69" t="s">
        <v>38</v>
      </c>
      <c r="C33" s="20"/>
      <c r="D33" s="20">
        <f>+D169+D177</f>
        <v>33454</v>
      </c>
      <c r="E33" s="20">
        <f t="shared" ref="E33:AI33" si="22">+E169+E177</f>
        <v>33455</v>
      </c>
      <c r="F33" s="20">
        <f t="shared" si="22"/>
        <v>33455</v>
      </c>
      <c r="G33" s="20">
        <f t="shared" si="22"/>
        <v>33454</v>
      </c>
      <c r="H33" s="20">
        <f t="shared" si="22"/>
        <v>33455</v>
      </c>
      <c r="I33" s="20">
        <f t="shared" si="22"/>
        <v>33455</v>
      </c>
      <c r="J33" s="20">
        <f t="shared" si="22"/>
        <v>33454</v>
      </c>
      <c r="K33" s="20">
        <f t="shared" si="22"/>
        <v>33455</v>
      </c>
      <c r="L33" s="20">
        <f t="shared" si="22"/>
        <v>33455</v>
      </c>
      <c r="M33" s="20">
        <f t="shared" si="22"/>
        <v>33454</v>
      </c>
      <c r="N33" s="20">
        <f t="shared" si="22"/>
        <v>33455</v>
      </c>
      <c r="O33" s="20">
        <f t="shared" si="22"/>
        <v>33454</v>
      </c>
      <c r="P33" s="20">
        <f t="shared" si="22"/>
        <v>33454</v>
      </c>
      <c r="Q33" s="20">
        <f t="shared" si="22"/>
        <v>33455</v>
      </c>
      <c r="R33" s="20">
        <f t="shared" si="22"/>
        <v>33455</v>
      </c>
      <c r="S33" s="20">
        <f t="shared" si="22"/>
        <v>33455</v>
      </c>
      <c r="T33" s="20">
        <f t="shared" si="22"/>
        <v>33454</v>
      </c>
      <c r="U33" s="20">
        <f t="shared" si="22"/>
        <v>33455</v>
      </c>
      <c r="V33" s="20">
        <f t="shared" si="22"/>
        <v>33455</v>
      </c>
      <c r="W33" s="20">
        <f t="shared" si="22"/>
        <v>33455</v>
      </c>
      <c r="X33" s="20">
        <f t="shared" si="22"/>
        <v>33455</v>
      </c>
      <c r="Y33" s="20">
        <f t="shared" si="22"/>
        <v>33455</v>
      </c>
      <c r="Z33" s="20">
        <f t="shared" si="22"/>
        <v>33455</v>
      </c>
      <c r="AA33" s="20">
        <f t="shared" si="22"/>
        <v>33455</v>
      </c>
      <c r="AB33" s="20">
        <f t="shared" si="22"/>
        <v>33455</v>
      </c>
      <c r="AC33" s="20">
        <f t="shared" si="22"/>
        <v>33455</v>
      </c>
      <c r="AD33" s="20">
        <f t="shared" si="22"/>
        <v>33455</v>
      </c>
      <c r="AE33" s="20">
        <f t="shared" si="22"/>
        <v>33351</v>
      </c>
      <c r="AF33" s="20">
        <f t="shared" si="22"/>
        <v>0</v>
      </c>
      <c r="AG33" s="20">
        <f t="shared" si="22"/>
        <v>0</v>
      </c>
      <c r="AH33" s="20">
        <f t="shared" si="22"/>
        <v>0</v>
      </c>
      <c r="AI33" s="20">
        <f t="shared" si="22"/>
        <v>0</v>
      </c>
    </row>
    <row r="34" spans="1:35" x14ac:dyDescent="0.2">
      <c r="A34" s="12" t="s">
        <v>585</v>
      </c>
      <c r="B34" s="69" t="s">
        <v>341</v>
      </c>
      <c r="C34" s="20"/>
      <c r="D34" s="20">
        <f>+D99+D119</f>
        <v>30931</v>
      </c>
      <c r="E34" s="20">
        <f t="shared" ref="E34:AI34" si="23">+E162+E178</f>
        <v>35583</v>
      </c>
      <c r="F34" s="20">
        <f t="shared" si="23"/>
        <v>34924</v>
      </c>
      <c r="G34" s="20">
        <f t="shared" si="23"/>
        <v>34238</v>
      </c>
      <c r="H34" s="20">
        <f t="shared" si="23"/>
        <v>33524</v>
      </c>
      <c r="I34" s="20">
        <f t="shared" si="23"/>
        <v>32781</v>
      </c>
      <c r="J34" s="20">
        <f t="shared" si="23"/>
        <v>32006</v>
      </c>
      <c r="K34" s="20">
        <f t="shared" si="23"/>
        <v>31200</v>
      </c>
      <c r="L34" s="20">
        <f t="shared" si="23"/>
        <v>30361</v>
      </c>
      <c r="M34" s="20">
        <f t="shared" si="23"/>
        <v>29487</v>
      </c>
      <c r="N34" s="20">
        <f t="shared" si="23"/>
        <v>28577</v>
      </c>
      <c r="O34" s="20">
        <f t="shared" si="23"/>
        <v>27629</v>
      </c>
      <c r="P34" s="20">
        <f t="shared" si="23"/>
        <v>26642</v>
      </c>
      <c r="Q34" s="20">
        <f t="shared" si="23"/>
        <v>25615</v>
      </c>
      <c r="R34" s="20">
        <f t="shared" si="23"/>
        <v>24545</v>
      </c>
      <c r="S34" s="20">
        <f t="shared" si="23"/>
        <v>23431</v>
      </c>
      <c r="T34" s="20">
        <f t="shared" si="23"/>
        <v>22271</v>
      </c>
      <c r="U34" s="20">
        <f t="shared" si="23"/>
        <v>21063</v>
      </c>
      <c r="V34" s="20">
        <f t="shared" si="23"/>
        <v>19805</v>
      </c>
      <c r="W34" s="20">
        <f t="shared" si="23"/>
        <v>18496</v>
      </c>
      <c r="X34" s="20">
        <f t="shared" si="23"/>
        <v>17133</v>
      </c>
      <c r="Y34" s="20">
        <f t="shared" si="23"/>
        <v>15713</v>
      </c>
      <c r="Z34" s="20">
        <f t="shared" si="23"/>
        <v>14234</v>
      </c>
      <c r="AA34" s="20">
        <f t="shared" si="23"/>
        <v>12695</v>
      </c>
      <c r="AB34" s="20">
        <f t="shared" si="23"/>
        <v>11092</v>
      </c>
      <c r="AC34" s="20">
        <f t="shared" si="23"/>
        <v>9423</v>
      </c>
      <c r="AD34" s="20">
        <f t="shared" si="23"/>
        <v>7686</v>
      </c>
      <c r="AE34" s="20">
        <f t="shared" si="23"/>
        <v>5876</v>
      </c>
      <c r="AF34" s="20">
        <f t="shared" si="23"/>
        <v>3992</v>
      </c>
      <c r="AG34" s="20">
        <f t="shared" si="23"/>
        <v>2030</v>
      </c>
      <c r="AH34" s="20">
        <f t="shared" si="23"/>
        <v>0</v>
      </c>
      <c r="AI34" s="20">
        <f t="shared" si="23"/>
        <v>0</v>
      </c>
    </row>
    <row r="35" spans="1:35" x14ac:dyDescent="0.2">
      <c r="A35" s="12" t="s">
        <v>586</v>
      </c>
      <c r="B35" s="13" t="s">
        <v>42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row>
    <row r="36" spans="1:35" x14ac:dyDescent="0.2">
      <c r="A36" s="12" t="s">
        <v>888</v>
      </c>
      <c r="B36" s="13" t="s">
        <v>932</v>
      </c>
      <c r="C36" s="20"/>
      <c r="D36" s="20">
        <f>+D101+D122</f>
        <v>107300</v>
      </c>
      <c r="E36" s="20">
        <f t="shared" ref="E36:AI36" si="24">+E101+E122</f>
        <v>110500</v>
      </c>
      <c r="F36" s="20">
        <f t="shared" si="24"/>
        <v>108550</v>
      </c>
      <c r="G36" s="20">
        <f t="shared" si="24"/>
        <v>111600</v>
      </c>
      <c r="H36" s="20">
        <f t="shared" si="24"/>
        <v>109500</v>
      </c>
      <c r="I36" s="20">
        <f t="shared" si="24"/>
        <v>112400</v>
      </c>
      <c r="J36" s="20">
        <f t="shared" si="24"/>
        <v>110150</v>
      </c>
      <c r="K36" s="20">
        <f t="shared" si="24"/>
        <v>112338</v>
      </c>
      <c r="L36" s="20">
        <f t="shared" si="24"/>
        <v>109338</v>
      </c>
      <c r="M36" s="20">
        <f t="shared" si="24"/>
        <v>111338</v>
      </c>
      <c r="N36" s="20">
        <f t="shared" si="24"/>
        <v>113150</v>
      </c>
      <c r="O36" s="20">
        <f t="shared" si="24"/>
        <v>109775</v>
      </c>
      <c r="P36" s="20">
        <f t="shared" si="24"/>
        <v>111400</v>
      </c>
      <c r="Q36" s="20">
        <f t="shared" si="24"/>
        <v>112600</v>
      </c>
      <c r="R36" s="20">
        <f t="shared" si="24"/>
        <v>113600</v>
      </c>
      <c r="S36" s="20">
        <f t="shared" si="24"/>
        <v>114400</v>
      </c>
      <c r="T36" s="20">
        <f t="shared" si="24"/>
        <v>0</v>
      </c>
      <c r="U36" s="20">
        <f t="shared" si="24"/>
        <v>0</v>
      </c>
      <c r="V36" s="20">
        <f t="shared" si="24"/>
        <v>0</v>
      </c>
      <c r="W36" s="20">
        <f t="shared" si="24"/>
        <v>0</v>
      </c>
      <c r="X36" s="20">
        <f t="shared" si="24"/>
        <v>0</v>
      </c>
      <c r="Y36" s="20">
        <f t="shared" si="24"/>
        <v>0</v>
      </c>
      <c r="Z36" s="20">
        <f t="shared" si="24"/>
        <v>0</v>
      </c>
      <c r="AA36" s="20">
        <f t="shared" si="24"/>
        <v>0</v>
      </c>
      <c r="AB36" s="20">
        <f t="shared" si="24"/>
        <v>0</v>
      </c>
      <c r="AC36" s="20">
        <f t="shared" si="24"/>
        <v>0</v>
      </c>
      <c r="AD36" s="20">
        <f t="shared" si="24"/>
        <v>0</v>
      </c>
      <c r="AE36" s="20">
        <f t="shared" si="24"/>
        <v>0</v>
      </c>
      <c r="AF36" s="20">
        <f t="shared" si="24"/>
        <v>0</v>
      </c>
      <c r="AG36" s="20">
        <f t="shared" si="24"/>
        <v>0</v>
      </c>
      <c r="AH36" s="20">
        <f t="shared" si="24"/>
        <v>0</v>
      </c>
      <c r="AI36" s="20">
        <f t="shared" si="24"/>
        <v>0</v>
      </c>
    </row>
    <row r="37" spans="1:35" x14ac:dyDescent="0.2">
      <c r="A37" s="12" t="s">
        <v>1019</v>
      </c>
      <c r="B37" s="13" t="s">
        <v>1015</v>
      </c>
      <c r="C37" s="20"/>
      <c r="D37" s="20">
        <f>+D102+D123+D124</f>
        <v>101503</v>
      </c>
      <c r="E37" s="20">
        <f t="shared" ref="E37:AI37" si="25">+E102+E123+E124</f>
        <v>98088</v>
      </c>
      <c r="F37" s="20">
        <f t="shared" si="25"/>
        <v>98103</v>
      </c>
      <c r="G37" s="20">
        <f t="shared" si="25"/>
        <v>98118</v>
      </c>
      <c r="H37" s="20">
        <f t="shared" si="25"/>
        <v>98134</v>
      </c>
      <c r="I37" s="20">
        <f t="shared" si="25"/>
        <v>98150</v>
      </c>
      <c r="J37" s="20">
        <f t="shared" si="25"/>
        <v>98166</v>
      </c>
      <c r="K37" s="20">
        <f t="shared" si="25"/>
        <v>98184</v>
      </c>
      <c r="L37" s="20">
        <f t="shared" si="25"/>
        <v>98201</v>
      </c>
      <c r="M37" s="20">
        <f t="shared" si="25"/>
        <v>98218</v>
      </c>
      <c r="N37" s="20">
        <f t="shared" si="25"/>
        <v>98237</v>
      </c>
      <c r="O37" s="20">
        <f t="shared" si="25"/>
        <v>25256</v>
      </c>
      <c r="P37" s="20">
        <f t="shared" si="25"/>
        <v>98275</v>
      </c>
      <c r="Q37" s="20">
        <f t="shared" si="25"/>
        <v>98294</v>
      </c>
      <c r="R37" s="20">
        <f t="shared" si="25"/>
        <v>98314</v>
      </c>
      <c r="S37" s="20">
        <f t="shared" si="25"/>
        <v>98334</v>
      </c>
      <c r="T37" s="20">
        <f t="shared" si="25"/>
        <v>98354.32</v>
      </c>
      <c r="U37" s="20">
        <f t="shared" si="25"/>
        <v>98376</v>
      </c>
      <c r="V37" s="20">
        <f t="shared" si="25"/>
        <v>96777</v>
      </c>
      <c r="W37" s="20">
        <f t="shared" si="25"/>
        <v>98298.94</v>
      </c>
      <c r="X37" s="20">
        <f t="shared" si="25"/>
        <v>0</v>
      </c>
      <c r="Y37" s="20">
        <f t="shared" si="25"/>
        <v>0</v>
      </c>
      <c r="Z37" s="20">
        <f t="shared" si="25"/>
        <v>0</v>
      </c>
      <c r="AA37" s="20">
        <f t="shared" si="25"/>
        <v>0</v>
      </c>
      <c r="AB37" s="20">
        <f t="shared" si="25"/>
        <v>0</v>
      </c>
      <c r="AC37" s="20">
        <f t="shared" si="25"/>
        <v>0</v>
      </c>
      <c r="AD37" s="20">
        <f t="shared" si="25"/>
        <v>0</v>
      </c>
      <c r="AE37" s="20">
        <f t="shared" si="25"/>
        <v>0</v>
      </c>
      <c r="AF37" s="20">
        <f t="shared" si="25"/>
        <v>0</v>
      </c>
      <c r="AG37" s="20">
        <f t="shared" si="25"/>
        <v>0</v>
      </c>
      <c r="AH37" s="20">
        <f t="shared" si="25"/>
        <v>0</v>
      </c>
      <c r="AI37" s="20">
        <f t="shared" si="25"/>
        <v>0</v>
      </c>
    </row>
    <row r="38" spans="1:35" x14ac:dyDescent="0.2">
      <c r="A38" s="12" t="s">
        <v>1032</v>
      </c>
      <c r="B38" s="13" t="s">
        <v>1034</v>
      </c>
      <c r="C38" s="20"/>
      <c r="D38" s="20">
        <f>+D103+D125</f>
        <v>0</v>
      </c>
      <c r="E38" s="20">
        <f t="shared" ref="E38:AI38" si="26">+E103+E125</f>
        <v>0</v>
      </c>
      <c r="F38" s="20">
        <f t="shared" si="26"/>
        <v>0</v>
      </c>
      <c r="G38" s="20">
        <f t="shared" si="26"/>
        <v>0</v>
      </c>
      <c r="H38" s="20">
        <f t="shared" si="26"/>
        <v>0</v>
      </c>
      <c r="I38" s="20">
        <f t="shared" si="26"/>
        <v>0</v>
      </c>
      <c r="J38" s="20">
        <f t="shared" si="26"/>
        <v>0</v>
      </c>
      <c r="K38" s="20">
        <f t="shared" si="26"/>
        <v>0</v>
      </c>
      <c r="L38" s="20">
        <f t="shared" si="26"/>
        <v>0</v>
      </c>
      <c r="M38" s="20">
        <f t="shared" si="26"/>
        <v>0</v>
      </c>
      <c r="N38" s="20">
        <f t="shared" si="26"/>
        <v>0</v>
      </c>
      <c r="O38" s="20">
        <f t="shared" si="26"/>
        <v>0</v>
      </c>
      <c r="P38" s="20">
        <f t="shared" si="26"/>
        <v>0</v>
      </c>
      <c r="Q38" s="20">
        <f t="shared" si="26"/>
        <v>0</v>
      </c>
      <c r="R38" s="20">
        <f t="shared" si="26"/>
        <v>0</v>
      </c>
      <c r="S38" s="20">
        <f t="shared" si="26"/>
        <v>0</v>
      </c>
      <c r="T38" s="20">
        <f t="shared" si="26"/>
        <v>0</v>
      </c>
      <c r="U38" s="20">
        <f t="shared" si="26"/>
        <v>0</v>
      </c>
      <c r="V38" s="20">
        <f t="shared" si="26"/>
        <v>0</v>
      </c>
      <c r="W38" s="20">
        <f t="shared" si="26"/>
        <v>0</v>
      </c>
      <c r="X38" s="20">
        <f t="shared" si="26"/>
        <v>0</v>
      </c>
      <c r="Y38" s="20">
        <f t="shared" si="26"/>
        <v>0</v>
      </c>
      <c r="Z38" s="20">
        <f t="shared" si="26"/>
        <v>0</v>
      </c>
      <c r="AA38" s="20">
        <f t="shared" si="26"/>
        <v>0</v>
      </c>
      <c r="AB38" s="20">
        <f t="shared" si="26"/>
        <v>0</v>
      </c>
      <c r="AC38" s="20">
        <f t="shared" si="26"/>
        <v>0</v>
      </c>
      <c r="AD38" s="20">
        <f t="shared" si="26"/>
        <v>0</v>
      </c>
      <c r="AE38" s="20">
        <f t="shared" si="26"/>
        <v>0</v>
      </c>
      <c r="AF38" s="20">
        <f t="shared" si="26"/>
        <v>0</v>
      </c>
      <c r="AG38" s="20">
        <f t="shared" si="26"/>
        <v>0</v>
      </c>
      <c r="AH38" s="20">
        <f t="shared" si="26"/>
        <v>0</v>
      </c>
      <c r="AI38" s="20">
        <f t="shared" si="26"/>
        <v>0</v>
      </c>
    </row>
    <row r="39" spans="1:35" x14ac:dyDescent="0.2">
      <c r="A39" s="12" t="s">
        <v>1033</v>
      </c>
      <c r="B39" s="13" t="s">
        <v>1035</v>
      </c>
      <c r="C39" s="20"/>
      <c r="D39" s="20">
        <f>+D104+D126</f>
        <v>0</v>
      </c>
      <c r="E39" s="20">
        <f t="shared" ref="E39:AI39" si="27">+E104+E126</f>
        <v>0</v>
      </c>
      <c r="F39" s="20">
        <f t="shared" si="27"/>
        <v>0</v>
      </c>
      <c r="G39" s="20">
        <f t="shared" si="27"/>
        <v>0</v>
      </c>
      <c r="H39" s="20">
        <f t="shared" si="27"/>
        <v>0</v>
      </c>
      <c r="I39" s="20">
        <f t="shared" si="27"/>
        <v>0</v>
      </c>
      <c r="J39" s="20">
        <f t="shared" si="27"/>
        <v>0</v>
      </c>
      <c r="K39" s="20">
        <f t="shared" si="27"/>
        <v>0</v>
      </c>
      <c r="L39" s="20">
        <f t="shared" si="27"/>
        <v>0</v>
      </c>
      <c r="M39" s="20">
        <f t="shared" si="27"/>
        <v>0</v>
      </c>
      <c r="N39" s="20">
        <f t="shared" si="27"/>
        <v>0</v>
      </c>
      <c r="O39" s="20">
        <f t="shared" si="27"/>
        <v>0</v>
      </c>
      <c r="P39" s="20">
        <f t="shared" si="27"/>
        <v>0</v>
      </c>
      <c r="Q39" s="20">
        <f t="shared" si="27"/>
        <v>0</v>
      </c>
      <c r="R39" s="20">
        <f t="shared" si="27"/>
        <v>0</v>
      </c>
      <c r="S39" s="20">
        <f t="shared" si="27"/>
        <v>0</v>
      </c>
      <c r="T39" s="20">
        <f t="shared" si="27"/>
        <v>0</v>
      </c>
      <c r="U39" s="20">
        <f t="shared" si="27"/>
        <v>0</v>
      </c>
      <c r="V39" s="20">
        <f t="shared" si="27"/>
        <v>0</v>
      </c>
      <c r="W39" s="20">
        <f t="shared" si="27"/>
        <v>0</v>
      </c>
      <c r="X39" s="20">
        <f t="shared" si="27"/>
        <v>0</v>
      </c>
      <c r="Y39" s="20">
        <f t="shared" si="27"/>
        <v>0</v>
      </c>
      <c r="Z39" s="20">
        <f t="shared" si="27"/>
        <v>0</v>
      </c>
      <c r="AA39" s="20">
        <f t="shared" si="27"/>
        <v>0</v>
      </c>
      <c r="AB39" s="20">
        <f t="shared" si="27"/>
        <v>0</v>
      </c>
      <c r="AC39" s="20">
        <f t="shared" si="27"/>
        <v>0</v>
      </c>
      <c r="AD39" s="20">
        <f t="shared" si="27"/>
        <v>0</v>
      </c>
      <c r="AE39" s="20">
        <f t="shared" si="27"/>
        <v>0</v>
      </c>
      <c r="AF39" s="20">
        <f t="shared" si="27"/>
        <v>0</v>
      </c>
      <c r="AG39" s="20">
        <f t="shared" si="27"/>
        <v>0</v>
      </c>
      <c r="AH39" s="20">
        <f t="shared" si="27"/>
        <v>0</v>
      </c>
      <c r="AI39" s="20">
        <f t="shared" si="27"/>
        <v>0</v>
      </c>
    </row>
    <row r="40" spans="1:35" x14ac:dyDescent="0.2">
      <c r="A40" s="12" t="s">
        <v>1096</v>
      </c>
      <c r="B40" s="13" t="s">
        <v>1092</v>
      </c>
      <c r="C40" s="20"/>
      <c r="D40" s="20">
        <f>+D105+D127</f>
        <v>0</v>
      </c>
      <c r="E40" s="20">
        <f t="shared" ref="E40:AI40" si="28">+E105+E127</f>
        <v>0</v>
      </c>
      <c r="F40" s="20">
        <f t="shared" si="28"/>
        <v>0</v>
      </c>
      <c r="G40" s="20">
        <f t="shared" si="28"/>
        <v>0</v>
      </c>
      <c r="H40" s="20">
        <f t="shared" si="28"/>
        <v>0</v>
      </c>
      <c r="I40" s="20">
        <f t="shared" si="28"/>
        <v>0</v>
      </c>
      <c r="J40" s="20">
        <f t="shared" si="28"/>
        <v>0</v>
      </c>
      <c r="K40" s="20">
        <f t="shared" si="28"/>
        <v>0</v>
      </c>
      <c r="L40" s="20">
        <f t="shared" si="28"/>
        <v>0</v>
      </c>
      <c r="M40" s="20">
        <f t="shared" si="28"/>
        <v>0</v>
      </c>
      <c r="N40" s="20">
        <f t="shared" si="28"/>
        <v>0</v>
      </c>
      <c r="O40" s="20">
        <f t="shared" si="28"/>
        <v>0</v>
      </c>
      <c r="P40" s="20">
        <f t="shared" si="28"/>
        <v>0</v>
      </c>
      <c r="Q40" s="20">
        <f t="shared" si="28"/>
        <v>0</v>
      </c>
      <c r="R40" s="20">
        <f t="shared" si="28"/>
        <v>0</v>
      </c>
      <c r="S40" s="20">
        <f t="shared" si="28"/>
        <v>0</v>
      </c>
      <c r="T40" s="20">
        <f t="shared" si="28"/>
        <v>0</v>
      </c>
      <c r="U40" s="20">
        <f t="shared" si="28"/>
        <v>0</v>
      </c>
      <c r="V40" s="20">
        <f t="shared" si="28"/>
        <v>0</v>
      </c>
      <c r="W40" s="20">
        <f t="shared" si="28"/>
        <v>0</v>
      </c>
      <c r="X40" s="20">
        <f t="shared" si="28"/>
        <v>0</v>
      </c>
      <c r="Y40" s="20">
        <f t="shared" si="28"/>
        <v>0</v>
      </c>
      <c r="Z40" s="20">
        <f t="shared" si="28"/>
        <v>0</v>
      </c>
      <c r="AA40" s="20">
        <f t="shared" si="28"/>
        <v>0</v>
      </c>
      <c r="AB40" s="20">
        <f t="shared" si="28"/>
        <v>0</v>
      </c>
      <c r="AC40" s="20">
        <f t="shared" si="28"/>
        <v>0</v>
      </c>
      <c r="AD40" s="20">
        <f t="shared" si="28"/>
        <v>0</v>
      </c>
      <c r="AE40" s="20">
        <f t="shared" si="28"/>
        <v>0</v>
      </c>
      <c r="AF40" s="20">
        <f t="shared" si="28"/>
        <v>0</v>
      </c>
      <c r="AG40" s="20">
        <f t="shared" si="28"/>
        <v>0</v>
      </c>
      <c r="AH40" s="20">
        <f t="shared" si="28"/>
        <v>0</v>
      </c>
      <c r="AI40" s="20">
        <f t="shared" si="28"/>
        <v>0</v>
      </c>
    </row>
    <row r="41" spans="1:35" x14ac:dyDescent="0.2">
      <c r="A41" s="12" t="s">
        <v>1099</v>
      </c>
      <c r="B41" s="13" t="s">
        <v>1095</v>
      </c>
      <c r="C41" s="20"/>
      <c r="D41" s="20">
        <f>+D106+D128</f>
        <v>5000</v>
      </c>
      <c r="E41" s="20">
        <f t="shared" ref="E41:AI41" si="29">+E106+E128</f>
        <v>0</v>
      </c>
      <c r="F41" s="20">
        <f t="shared" si="29"/>
        <v>0</v>
      </c>
      <c r="G41" s="20">
        <f t="shared" si="29"/>
        <v>0</v>
      </c>
      <c r="H41" s="20">
        <f t="shared" si="29"/>
        <v>0</v>
      </c>
      <c r="I41" s="20">
        <f t="shared" si="29"/>
        <v>0</v>
      </c>
      <c r="J41" s="20">
        <f t="shared" si="29"/>
        <v>0</v>
      </c>
      <c r="K41" s="20">
        <f t="shared" si="29"/>
        <v>0</v>
      </c>
      <c r="L41" s="20">
        <f t="shared" si="29"/>
        <v>0</v>
      </c>
      <c r="M41" s="20">
        <f t="shared" si="29"/>
        <v>0</v>
      </c>
      <c r="N41" s="20">
        <f t="shared" si="29"/>
        <v>0</v>
      </c>
      <c r="O41" s="20">
        <f t="shared" si="29"/>
        <v>0</v>
      </c>
      <c r="P41" s="20">
        <f t="shared" si="29"/>
        <v>0</v>
      </c>
      <c r="Q41" s="20">
        <f t="shared" si="29"/>
        <v>0</v>
      </c>
      <c r="R41" s="20">
        <f t="shared" si="29"/>
        <v>0</v>
      </c>
      <c r="S41" s="20">
        <f t="shared" si="29"/>
        <v>0</v>
      </c>
      <c r="T41" s="20">
        <f t="shared" si="29"/>
        <v>0</v>
      </c>
      <c r="U41" s="20">
        <f t="shared" si="29"/>
        <v>0</v>
      </c>
      <c r="V41" s="20">
        <f t="shared" si="29"/>
        <v>0</v>
      </c>
      <c r="W41" s="20">
        <f t="shared" si="29"/>
        <v>0</v>
      </c>
      <c r="X41" s="20">
        <f t="shared" si="29"/>
        <v>0</v>
      </c>
      <c r="Y41" s="20">
        <f t="shared" si="29"/>
        <v>0</v>
      </c>
      <c r="Z41" s="20">
        <f t="shared" si="29"/>
        <v>0</v>
      </c>
      <c r="AA41" s="20">
        <f t="shared" si="29"/>
        <v>0</v>
      </c>
      <c r="AB41" s="20">
        <f t="shared" si="29"/>
        <v>0</v>
      </c>
      <c r="AC41" s="20">
        <f t="shared" si="29"/>
        <v>0</v>
      </c>
      <c r="AD41" s="20">
        <f t="shared" si="29"/>
        <v>0</v>
      </c>
      <c r="AE41" s="20">
        <f t="shared" si="29"/>
        <v>0</v>
      </c>
      <c r="AF41" s="20">
        <f t="shared" si="29"/>
        <v>0</v>
      </c>
      <c r="AG41" s="20">
        <f t="shared" si="29"/>
        <v>0</v>
      </c>
      <c r="AH41" s="20">
        <f t="shared" si="29"/>
        <v>0</v>
      </c>
      <c r="AI41" s="20">
        <f t="shared" si="29"/>
        <v>0</v>
      </c>
    </row>
    <row r="42" spans="1:35" ht="13.5" thickBot="1" x14ac:dyDescent="0.25">
      <c r="A42" s="30"/>
      <c r="B42" s="31"/>
      <c r="C42" s="20"/>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row>
    <row r="43" spans="1:35" ht="13.5" thickBot="1" x14ac:dyDescent="0.25">
      <c r="A43" s="30"/>
      <c r="B43" s="31" t="s">
        <v>1037</v>
      </c>
      <c r="C43" s="20"/>
      <c r="D43" s="649">
        <f t="shared" ref="D43:AI43" si="30">SUM(D28:D42)</f>
        <v>430137</v>
      </c>
      <c r="E43" s="649">
        <f t="shared" si="30"/>
        <v>423915</v>
      </c>
      <c r="F43" s="649">
        <f t="shared" si="30"/>
        <v>414961</v>
      </c>
      <c r="G43" s="649">
        <f t="shared" si="30"/>
        <v>410253</v>
      </c>
      <c r="H43" s="649">
        <f t="shared" si="30"/>
        <v>400854</v>
      </c>
      <c r="I43" s="649">
        <f t="shared" si="30"/>
        <v>376671</v>
      </c>
      <c r="J43" s="649">
        <f t="shared" si="30"/>
        <v>373495</v>
      </c>
      <c r="K43" s="649">
        <f t="shared" si="30"/>
        <v>374845</v>
      </c>
      <c r="L43" s="649">
        <f t="shared" si="30"/>
        <v>371152</v>
      </c>
      <c r="M43" s="649">
        <f t="shared" si="30"/>
        <v>327057</v>
      </c>
      <c r="N43" s="649">
        <f t="shared" si="30"/>
        <v>327916</v>
      </c>
      <c r="O43" s="649">
        <f t="shared" si="30"/>
        <v>250546</v>
      </c>
      <c r="P43" s="649">
        <f t="shared" si="30"/>
        <v>324137</v>
      </c>
      <c r="Q43" s="649">
        <f t="shared" si="30"/>
        <v>324261</v>
      </c>
      <c r="R43" s="649">
        <f t="shared" si="30"/>
        <v>324142</v>
      </c>
      <c r="S43" s="649">
        <f t="shared" si="30"/>
        <v>323775</v>
      </c>
      <c r="T43" s="649">
        <f t="shared" si="30"/>
        <v>208162.32</v>
      </c>
      <c r="U43" s="649">
        <f t="shared" si="30"/>
        <v>206901</v>
      </c>
      <c r="V43" s="649">
        <f t="shared" si="30"/>
        <v>203967</v>
      </c>
      <c r="W43" s="649">
        <f t="shared" si="30"/>
        <v>204101.94</v>
      </c>
      <c r="X43" s="649">
        <f t="shared" si="30"/>
        <v>50588</v>
      </c>
      <c r="Y43" s="649">
        <f t="shared" si="30"/>
        <v>49168</v>
      </c>
      <c r="Z43" s="649">
        <f t="shared" si="30"/>
        <v>47689</v>
      </c>
      <c r="AA43" s="649">
        <f t="shared" si="30"/>
        <v>46150</v>
      </c>
      <c r="AB43" s="649">
        <f t="shared" si="30"/>
        <v>44547</v>
      </c>
      <c r="AC43" s="649">
        <f t="shared" si="30"/>
        <v>42878</v>
      </c>
      <c r="AD43" s="649">
        <f t="shared" si="30"/>
        <v>41141</v>
      </c>
      <c r="AE43" s="649">
        <f t="shared" si="30"/>
        <v>39227</v>
      </c>
      <c r="AF43" s="649">
        <f t="shared" si="30"/>
        <v>3992</v>
      </c>
      <c r="AG43" s="649">
        <f t="shared" si="30"/>
        <v>2030</v>
      </c>
      <c r="AH43" s="649">
        <f t="shared" si="30"/>
        <v>0</v>
      </c>
      <c r="AI43" s="649">
        <f t="shared" si="30"/>
        <v>0</v>
      </c>
    </row>
    <row r="44" spans="1:35" ht="13.5" thickBot="1" x14ac:dyDescent="0.25">
      <c r="A44" s="30"/>
      <c r="B44" s="31"/>
      <c r="C44" s="20"/>
      <c r="D44" s="65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651"/>
    </row>
    <row r="45" spans="1:35" ht="14.25" thickTop="1" thickBot="1" x14ac:dyDescent="0.25">
      <c r="A45" s="30"/>
      <c r="B45" s="31" t="s">
        <v>1120</v>
      </c>
      <c r="C45" s="20"/>
      <c r="D45" s="652">
        <f>+D43+D24</f>
        <v>1239023</v>
      </c>
      <c r="E45" s="652">
        <f t="shared" ref="E45:AI45" si="31">+E43+E24</f>
        <v>1219411</v>
      </c>
      <c r="F45" s="652">
        <f t="shared" si="31"/>
        <v>1166021</v>
      </c>
      <c r="G45" s="652">
        <f t="shared" si="31"/>
        <v>1131807</v>
      </c>
      <c r="H45" s="652">
        <f t="shared" si="31"/>
        <v>1058059</v>
      </c>
      <c r="I45" s="652">
        <f t="shared" si="31"/>
        <v>1030560</v>
      </c>
      <c r="J45" s="652">
        <f t="shared" si="31"/>
        <v>1023429</v>
      </c>
      <c r="K45" s="652">
        <f t="shared" si="31"/>
        <v>1019355</v>
      </c>
      <c r="L45" s="652">
        <f t="shared" si="31"/>
        <v>911055</v>
      </c>
      <c r="M45" s="652">
        <f t="shared" si="31"/>
        <v>840208</v>
      </c>
      <c r="N45" s="652">
        <f t="shared" si="31"/>
        <v>421609</v>
      </c>
      <c r="O45" s="652">
        <f t="shared" si="31"/>
        <v>344010</v>
      </c>
      <c r="P45" s="652">
        <f t="shared" si="31"/>
        <v>417367</v>
      </c>
      <c r="Q45" s="652">
        <f t="shared" si="31"/>
        <v>417247</v>
      </c>
      <c r="R45" s="652">
        <f t="shared" si="31"/>
        <v>416879</v>
      </c>
      <c r="S45" s="652">
        <f t="shared" si="31"/>
        <v>408003</v>
      </c>
      <c r="T45" s="652">
        <f t="shared" si="31"/>
        <v>287141.32</v>
      </c>
      <c r="U45" s="652">
        <f t="shared" si="31"/>
        <v>285830</v>
      </c>
      <c r="V45" s="652">
        <f t="shared" si="31"/>
        <v>282844</v>
      </c>
      <c r="W45" s="652">
        <f t="shared" si="31"/>
        <v>282925.94</v>
      </c>
      <c r="X45" s="652">
        <f t="shared" si="31"/>
        <v>93511</v>
      </c>
      <c r="Y45" s="652">
        <f t="shared" si="31"/>
        <v>92091</v>
      </c>
      <c r="Z45" s="652">
        <f t="shared" si="31"/>
        <v>90613</v>
      </c>
      <c r="AA45" s="652">
        <f t="shared" si="31"/>
        <v>89073</v>
      </c>
      <c r="AB45" s="652">
        <f t="shared" si="31"/>
        <v>87471</v>
      </c>
      <c r="AC45" s="652">
        <f t="shared" si="31"/>
        <v>85801</v>
      </c>
      <c r="AD45" s="652">
        <f t="shared" si="31"/>
        <v>84064</v>
      </c>
      <c r="AE45" s="652">
        <f t="shared" si="31"/>
        <v>82081</v>
      </c>
      <c r="AF45" s="652">
        <f t="shared" si="31"/>
        <v>24613</v>
      </c>
      <c r="AG45" s="652">
        <f t="shared" si="31"/>
        <v>22527</v>
      </c>
      <c r="AH45" s="652">
        <f t="shared" si="31"/>
        <v>0</v>
      </c>
      <c r="AI45" s="652">
        <f t="shared" si="31"/>
        <v>0</v>
      </c>
    </row>
    <row r="46" spans="1:35" ht="13.5" thickTop="1" x14ac:dyDescent="0.2">
      <c r="A46" s="30"/>
      <c r="B46" s="31"/>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row>
    <row r="47" spans="1:35" x14ac:dyDescent="0.2">
      <c r="A47" s="645"/>
      <c r="B47" s="646"/>
      <c r="C47" s="647"/>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c r="AH47" s="647"/>
      <c r="AI47" s="647"/>
    </row>
    <row r="48" spans="1:35" x14ac:dyDescent="0.2">
      <c r="A48" s="30"/>
      <c r="B48" s="31"/>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row>
    <row r="49" spans="1:35" x14ac:dyDescent="0.2">
      <c r="A49" s="30"/>
      <c r="B49" s="31" t="s">
        <v>1110</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row>
    <row r="50" spans="1:35" x14ac:dyDescent="0.2">
      <c r="A50" s="12">
        <v>5910</v>
      </c>
      <c r="B50" s="13" t="s">
        <v>222</v>
      </c>
      <c r="C50" s="40">
        <v>35000</v>
      </c>
      <c r="D50" s="40">
        <v>35000</v>
      </c>
      <c r="E50" s="40">
        <v>35000</v>
      </c>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row>
    <row r="51" spans="1:35" x14ac:dyDescent="0.2">
      <c r="A51" s="12">
        <v>5916</v>
      </c>
      <c r="B51" s="13" t="s">
        <v>386</v>
      </c>
      <c r="C51" s="15">
        <f>15000+10000</f>
        <v>25000</v>
      </c>
      <c r="D51" s="15">
        <f>10000+10000</f>
        <v>20000</v>
      </c>
      <c r="E51" s="15">
        <f>10000+10000</f>
        <v>20000</v>
      </c>
      <c r="F51" s="15">
        <f t="shared" ref="F51:L51" si="32">5000+10000</f>
        <v>15000</v>
      </c>
      <c r="G51" s="15">
        <f t="shared" si="32"/>
        <v>15000</v>
      </c>
      <c r="H51" s="15">
        <f t="shared" si="32"/>
        <v>15000</v>
      </c>
      <c r="I51" s="15">
        <f t="shared" si="32"/>
        <v>15000</v>
      </c>
      <c r="J51" s="15">
        <f t="shared" si="32"/>
        <v>15000</v>
      </c>
      <c r="K51" s="15">
        <f t="shared" si="32"/>
        <v>15000</v>
      </c>
      <c r="L51" s="15">
        <f t="shared" si="32"/>
        <v>15000</v>
      </c>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x14ac:dyDescent="0.2">
      <c r="A52" s="12">
        <v>5920</v>
      </c>
      <c r="B52" s="13" t="s">
        <v>933</v>
      </c>
      <c r="C52" s="15">
        <v>255000</v>
      </c>
      <c r="D52" s="15">
        <v>265000</v>
      </c>
      <c r="E52" s="15">
        <v>275000</v>
      </c>
      <c r="F52" s="15">
        <v>290000</v>
      </c>
      <c r="G52" s="15">
        <v>300000</v>
      </c>
      <c r="H52" s="15">
        <v>315000</v>
      </c>
      <c r="I52" s="15">
        <v>330000</v>
      </c>
      <c r="J52" s="15">
        <v>345000</v>
      </c>
      <c r="K52" s="15">
        <v>360000</v>
      </c>
      <c r="L52" s="15">
        <v>375000</v>
      </c>
      <c r="M52" s="15">
        <v>405000</v>
      </c>
      <c r="N52" s="15"/>
      <c r="O52" s="15"/>
      <c r="P52" s="15"/>
      <c r="Q52" s="15"/>
      <c r="R52" s="15"/>
      <c r="S52" s="15"/>
      <c r="T52" s="15"/>
      <c r="U52" s="15"/>
      <c r="V52" s="15"/>
      <c r="W52" s="15"/>
      <c r="X52" s="15"/>
      <c r="Y52" s="15"/>
      <c r="Z52" s="15"/>
      <c r="AA52" s="15"/>
      <c r="AB52" s="15"/>
      <c r="AC52" s="15"/>
      <c r="AD52" s="15"/>
      <c r="AE52" s="15"/>
      <c r="AF52" s="15"/>
      <c r="AG52" s="15"/>
      <c r="AH52" s="15"/>
      <c r="AI52" s="15"/>
    </row>
    <row r="53" spans="1:35" x14ac:dyDescent="0.2">
      <c r="A53" s="12">
        <v>5930</v>
      </c>
      <c r="B53" s="117" t="s">
        <v>36</v>
      </c>
      <c r="C53" s="132">
        <f>+C151</f>
        <v>19246</v>
      </c>
      <c r="D53" s="132">
        <f t="shared" ref="D53:AI56" si="33">+D151</f>
        <v>19635</v>
      </c>
      <c r="E53" s="132">
        <f t="shared" si="33"/>
        <v>20032</v>
      </c>
      <c r="F53" s="132">
        <f t="shared" si="33"/>
        <v>20760</v>
      </c>
      <c r="G53" s="132">
        <f t="shared" si="33"/>
        <v>20849</v>
      </c>
      <c r="H53" s="132">
        <f t="shared" si="33"/>
        <v>21270</v>
      </c>
      <c r="I53" s="132">
        <f t="shared" si="33"/>
        <v>21700</v>
      </c>
      <c r="J53" s="132">
        <f t="shared" si="33"/>
        <v>22138</v>
      </c>
      <c r="K53" s="132">
        <f t="shared" si="33"/>
        <v>22586</v>
      </c>
      <c r="L53" s="132">
        <f t="shared" si="33"/>
        <v>23042</v>
      </c>
      <c r="M53" s="132">
        <f t="shared" si="33"/>
        <v>0</v>
      </c>
      <c r="N53" s="132">
        <f t="shared" si="33"/>
        <v>0</v>
      </c>
      <c r="O53" s="132">
        <f t="shared" si="33"/>
        <v>0</v>
      </c>
      <c r="P53" s="132">
        <f t="shared" si="33"/>
        <v>0</v>
      </c>
      <c r="Q53" s="132">
        <f t="shared" si="33"/>
        <v>0</v>
      </c>
      <c r="R53" s="132">
        <f t="shared" si="33"/>
        <v>0</v>
      </c>
      <c r="S53" s="132">
        <f t="shared" si="33"/>
        <v>0</v>
      </c>
      <c r="T53" s="132">
        <f t="shared" si="33"/>
        <v>0</v>
      </c>
      <c r="U53" s="132">
        <f t="shared" si="33"/>
        <v>0</v>
      </c>
      <c r="V53" s="132">
        <f t="shared" si="33"/>
        <v>0</v>
      </c>
      <c r="W53" s="132">
        <f t="shared" si="33"/>
        <v>0</v>
      </c>
      <c r="X53" s="132">
        <f t="shared" si="33"/>
        <v>0</v>
      </c>
      <c r="Y53" s="132">
        <f t="shared" si="33"/>
        <v>0</v>
      </c>
      <c r="Z53" s="132">
        <f t="shared" si="33"/>
        <v>0</v>
      </c>
      <c r="AA53" s="132">
        <f t="shared" si="33"/>
        <v>0</v>
      </c>
      <c r="AB53" s="132">
        <f t="shared" si="33"/>
        <v>0</v>
      </c>
      <c r="AC53" s="132">
        <f t="shared" si="33"/>
        <v>0</v>
      </c>
      <c r="AD53" s="132">
        <f t="shared" si="33"/>
        <v>0</v>
      </c>
      <c r="AE53" s="132">
        <f t="shared" si="33"/>
        <v>0</v>
      </c>
      <c r="AF53" s="132">
        <f t="shared" si="33"/>
        <v>0</v>
      </c>
      <c r="AG53" s="132">
        <f t="shared" si="33"/>
        <v>0</v>
      </c>
      <c r="AH53" s="132">
        <f t="shared" si="33"/>
        <v>0</v>
      </c>
      <c r="AI53" s="132">
        <f t="shared" si="33"/>
        <v>0</v>
      </c>
    </row>
    <row r="54" spans="1:35" x14ac:dyDescent="0.2">
      <c r="A54" s="12">
        <v>5931</v>
      </c>
      <c r="B54" s="69" t="s">
        <v>37</v>
      </c>
      <c r="C54" s="132">
        <f>+C152</f>
        <v>21872</v>
      </c>
      <c r="D54" s="132">
        <f t="shared" ref="D54:R54" si="34">+D152</f>
        <v>22406</v>
      </c>
      <c r="E54" s="132">
        <f t="shared" si="34"/>
        <v>22954</v>
      </c>
      <c r="F54" s="132">
        <f t="shared" si="34"/>
        <v>23514</v>
      </c>
      <c r="G54" s="132">
        <f t="shared" si="34"/>
        <v>24089</v>
      </c>
      <c r="H54" s="132">
        <f t="shared" si="34"/>
        <v>24678</v>
      </c>
      <c r="I54" s="132">
        <f t="shared" si="34"/>
        <v>25281</v>
      </c>
      <c r="J54" s="132">
        <f t="shared" si="34"/>
        <v>25898</v>
      </c>
      <c r="K54" s="132">
        <f t="shared" si="34"/>
        <v>26531</v>
      </c>
      <c r="L54" s="132">
        <f t="shared" si="34"/>
        <v>27180</v>
      </c>
      <c r="M54" s="132">
        <f t="shared" si="34"/>
        <v>27844</v>
      </c>
      <c r="N54" s="132">
        <f t="shared" si="34"/>
        <v>28524</v>
      </c>
      <c r="O54" s="132">
        <f t="shared" si="34"/>
        <v>29221</v>
      </c>
      <c r="P54" s="132">
        <f t="shared" si="34"/>
        <v>29935</v>
      </c>
      <c r="Q54" s="132">
        <f t="shared" si="34"/>
        <v>30667</v>
      </c>
      <c r="R54" s="132">
        <f t="shared" si="34"/>
        <v>31416</v>
      </c>
      <c r="S54" s="132">
        <f t="shared" si="33"/>
        <v>32184</v>
      </c>
      <c r="T54" s="132">
        <f t="shared" si="33"/>
        <v>32970</v>
      </c>
      <c r="U54" s="132">
        <f t="shared" si="33"/>
        <v>33776</v>
      </c>
      <c r="V54" s="132">
        <f t="shared" si="33"/>
        <v>34601</v>
      </c>
      <c r="W54" s="132">
        <f t="shared" si="33"/>
        <v>35446</v>
      </c>
      <c r="X54" s="132">
        <f t="shared" si="33"/>
        <v>0</v>
      </c>
      <c r="Y54" s="132">
        <f t="shared" si="33"/>
        <v>0</v>
      </c>
      <c r="Z54" s="132">
        <f t="shared" si="33"/>
        <v>0</v>
      </c>
      <c r="AA54" s="132">
        <f t="shared" si="33"/>
        <v>0</v>
      </c>
      <c r="AB54" s="132">
        <f t="shared" si="33"/>
        <v>0</v>
      </c>
      <c r="AC54" s="132">
        <f t="shared" si="33"/>
        <v>0</v>
      </c>
      <c r="AD54" s="132">
        <f t="shared" si="33"/>
        <v>0</v>
      </c>
      <c r="AE54" s="132">
        <f t="shared" si="33"/>
        <v>0</v>
      </c>
      <c r="AF54" s="132">
        <f t="shared" si="33"/>
        <v>0</v>
      </c>
      <c r="AG54" s="132">
        <f t="shared" si="33"/>
        <v>0</v>
      </c>
      <c r="AH54" s="132">
        <f t="shared" si="33"/>
        <v>0</v>
      </c>
      <c r="AI54" s="132">
        <f t="shared" si="33"/>
        <v>0</v>
      </c>
    </row>
    <row r="55" spans="1:35" x14ac:dyDescent="0.2">
      <c r="A55" s="12">
        <v>5932</v>
      </c>
      <c r="B55" s="69" t="s">
        <v>38</v>
      </c>
      <c r="C55" s="132">
        <f>+C153</f>
        <v>6444</v>
      </c>
      <c r="D55" s="132">
        <f t="shared" si="33"/>
        <v>6726</v>
      </c>
      <c r="E55" s="132">
        <f t="shared" si="33"/>
        <v>7020</v>
      </c>
      <c r="F55" s="132">
        <f t="shared" si="33"/>
        <v>7327</v>
      </c>
      <c r="G55" s="132">
        <f t="shared" si="33"/>
        <v>7647</v>
      </c>
      <c r="H55" s="132">
        <f t="shared" si="33"/>
        <v>7982</v>
      </c>
      <c r="I55" s="132">
        <f t="shared" si="33"/>
        <v>8331</v>
      </c>
      <c r="J55" s="132">
        <f t="shared" si="33"/>
        <v>8696</v>
      </c>
      <c r="K55" s="132">
        <f t="shared" si="33"/>
        <v>9076</v>
      </c>
      <c r="L55" s="132">
        <f t="shared" si="33"/>
        <v>9473</v>
      </c>
      <c r="M55" s="132">
        <f t="shared" si="33"/>
        <v>9888</v>
      </c>
      <c r="N55" s="132">
        <f t="shared" si="33"/>
        <v>10320</v>
      </c>
      <c r="O55" s="132">
        <f t="shared" si="33"/>
        <v>10772</v>
      </c>
      <c r="P55" s="132">
        <f t="shared" si="33"/>
        <v>11243</v>
      </c>
      <c r="Q55" s="132">
        <f t="shared" si="33"/>
        <v>11735</v>
      </c>
      <c r="R55" s="132">
        <f t="shared" si="33"/>
        <v>12248</v>
      </c>
      <c r="S55" s="132">
        <f t="shared" si="33"/>
        <v>12784</v>
      </c>
      <c r="T55" s="132">
        <f t="shared" si="33"/>
        <v>13344</v>
      </c>
      <c r="U55" s="132">
        <f t="shared" si="33"/>
        <v>13927</v>
      </c>
      <c r="V55" s="132">
        <f t="shared" si="33"/>
        <v>14536</v>
      </c>
      <c r="W55" s="132">
        <f t="shared" si="33"/>
        <v>15172</v>
      </c>
      <c r="X55" s="132">
        <f t="shared" si="33"/>
        <v>15836</v>
      </c>
      <c r="Y55" s="132">
        <f t="shared" si="33"/>
        <v>16529</v>
      </c>
      <c r="Z55" s="132">
        <f t="shared" si="33"/>
        <v>17252</v>
      </c>
      <c r="AA55" s="132">
        <f t="shared" si="33"/>
        <v>18007</v>
      </c>
      <c r="AB55" s="132">
        <f t="shared" si="33"/>
        <v>18795</v>
      </c>
      <c r="AC55" s="132">
        <f t="shared" si="33"/>
        <v>19617</v>
      </c>
      <c r="AD55" s="132">
        <f t="shared" si="33"/>
        <v>20475</v>
      </c>
      <c r="AE55" s="132">
        <f t="shared" si="33"/>
        <v>21302</v>
      </c>
      <c r="AF55" s="132">
        <f t="shared" si="33"/>
        <v>0</v>
      </c>
      <c r="AG55" s="132">
        <f t="shared" si="33"/>
        <v>0</v>
      </c>
      <c r="AH55" s="132">
        <f t="shared" si="33"/>
        <v>0</v>
      </c>
      <c r="AI55" s="132">
        <f t="shared" si="33"/>
        <v>0</v>
      </c>
    </row>
    <row r="56" spans="1:35" x14ac:dyDescent="0.2">
      <c r="A56" s="12">
        <v>5933</v>
      </c>
      <c r="B56" s="69" t="s">
        <v>341</v>
      </c>
      <c r="C56" s="132">
        <f>+C154</f>
        <v>5891</v>
      </c>
      <c r="D56" s="132">
        <f t="shared" si="33"/>
        <v>6134</v>
      </c>
      <c r="E56" s="132">
        <f t="shared" si="33"/>
        <v>6387</v>
      </c>
      <c r="F56" s="132">
        <f t="shared" si="33"/>
        <v>6651</v>
      </c>
      <c r="G56" s="132">
        <f t="shared" si="33"/>
        <v>6925</v>
      </c>
      <c r="H56" s="132">
        <f t="shared" si="33"/>
        <v>7211</v>
      </c>
      <c r="I56" s="132">
        <f t="shared" si="33"/>
        <v>7508</v>
      </c>
      <c r="J56" s="132">
        <f t="shared" si="33"/>
        <v>7818</v>
      </c>
      <c r="K56" s="132">
        <f t="shared" si="33"/>
        <v>8140</v>
      </c>
      <c r="L56" s="132">
        <f t="shared" si="33"/>
        <v>8476</v>
      </c>
      <c r="M56" s="132">
        <f t="shared" si="33"/>
        <v>8826</v>
      </c>
      <c r="N56" s="132">
        <f t="shared" si="33"/>
        <v>9190</v>
      </c>
      <c r="O56" s="132">
        <f t="shared" si="33"/>
        <v>9569</v>
      </c>
      <c r="P56" s="132">
        <f t="shared" si="33"/>
        <v>9964</v>
      </c>
      <c r="Q56" s="132">
        <f t="shared" si="33"/>
        <v>10374</v>
      </c>
      <c r="R56" s="132">
        <f t="shared" si="33"/>
        <v>10802</v>
      </c>
      <c r="S56" s="132">
        <f t="shared" si="33"/>
        <v>11248</v>
      </c>
      <c r="T56" s="132">
        <f t="shared" si="33"/>
        <v>11712</v>
      </c>
      <c r="U56" s="132">
        <f t="shared" si="33"/>
        <v>12195</v>
      </c>
      <c r="V56" s="132">
        <f t="shared" si="33"/>
        <v>12698</v>
      </c>
      <c r="W56" s="132">
        <f t="shared" si="33"/>
        <v>13222</v>
      </c>
      <c r="X56" s="132">
        <f t="shared" si="33"/>
        <v>13767</v>
      </c>
      <c r="Y56" s="132">
        <f t="shared" si="33"/>
        <v>14335</v>
      </c>
      <c r="Z56" s="132">
        <f t="shared" si="33"/>
        <v>14927</v>
      </c>
      <c r="AA56" s="132">
        <f t="shared" si="33"/>
        <v>15542</v>
      </c>
      <c r="AB56" s="132">
        <f t="shared" si="33"/>
        <v>16184</v>
      </c>
      <c r="AC56" s="132">
        <f t="shared" si="33"/>
        <v>16851</v>
      </c>
      <c r="AD56" s="132">
        <f t="shared" si="33"/>
        <v>17546</v>
      </c>
      <c r="AE56" s="132">
        <f t="shared" si="33"/>
        <v>18270</v>
      </c>
      <c r="AF56" s="132">
        <f t="shared" si="33"/>
        <v>19024</v>
      </c>
      <c r="AG56" s="132">
        <f t="shared" si="33"/>
        <v>19685</v>
      </c>
      <c r="AH56" s="132">
        <f t="shared" si="33"/>
        <v>0</v>
      </c>
      <c r="AI56" s="132">
        <f t="shared" si="33"/>
        <v>0</v>
      </c>
    </row>
    <row r="57" spans="1:35" x14ac:dyDescent="0.2">
      <c r="A57" s="12">
        <v>5934</v>
      </c>
      <c r="B57" s="13" t="s">
        <v>679</v>
      </c>
      <c r="C57" s="135">
        <v>5000</v>
      </c>
      <c r="D57" s="135">
        <v>5000</v>
      </c>
      <c r="E57" s="135">
        <v>5000</v>
      </c>
      <c r="F57" s="135">
        <v>5000</v>
      </c>
      <c r="G57" s="135">
        <v>5000</v>
      </c>
      <c r="H57" s="135">
        <v>5000</v>
      </c>
      <c r="I57" s="135">
        <v>5000</v>
      </c>
      <c r="J57" s="135">
        <v>5000</v>
      </c>
      <c r="K57" s="135">
        <v>5000</v>
      </c>
      <c r="L57" s="135">
        <v>5000</v>
      </c>
      <c r="M57" s="135">
        <v>5000</v>
      </c>
      <c r="N57" s="40"/>
      <c r="O57" s="40"/>
      <c r="P57" s="40"/>
      <c r="Q57" s="40"/>
      <c r="R57" s="40"/>
      <c r="S57" s="40"/>
      <c r="T57" s="40"/>
      <c r="U57" s="40"/>
      <c r="V57" s="40"/>
      <c r="W57" s="40"/>
      <c r="X57" s="40"/>
      <c r="Y57" s="40"/>
      <c r="Z57" s="40"/>
      <c r="AA57" s="40"/>
      <c r="AB57" s="40"/>
      <c r="AC57" s="40"/>
      <c r="AD57" s="40"/>
      <c r="AE57" s="40"/>
      <c r="AF57" s="40"/>
      <c r="AG57" s="40"/>
      <c r="AH57" s="40"/>
      <c r="AI57" s="40"/>
    </row>
    <row r="58" spans="1:35" x14ac:dyDescent="0.2">
      <c r="A58" s="12">
        <v>5936</v>
      </c>
      <c r="B58" s="13" t="s">
        <v>729</v>
      </c>
      <c r="C58" s="40">
        <v>5618</v>
      </c>
      <c r="D58" s="40">
        <v>5758</v>
      </c>
      <c r="E58" s="40">
        <v>5902</v>
      </c>
      <c r="F58" s="40">
        <v>6050</v>
      </c>
      <c r="G58" s="40">
        <v>6201</v>
      </c>
      <c r="H58" s="40">
        <v>6356</v>
      </c>
      <c r="I58" s="40">
        <v>6515</v>
      </c>
      <c r="J58" s="40">
        <v>6678</v>
      </c>
      <c r="K58" s="40">
        <v>6845</v>
      </c>
      <c r="L58" s="40">
        <v>7016</v>
      </c>
      <c r="M58" s="40">
        <v>7191</v>
      </c>
      <c r="N58" s="40">
        <v>7371</v>
      </c>
      <c r="O58" s="40">
        <v>7555</v>
      </c>
      <c r="P58" s="40">
        <v>7744</v>
      </c>
      <c r="Q58" s="40">
        <v>7938</v>
      </c>
      <c r="R58" s="40">
        <v>8136</v>
      </c>
      <c r="S58" s="40"/>
      <c r="T58" s="40"/>
      <c r="U58" s="40"/>
      <c r="V58" s="40"/>
      <c r="W58" s="40"/>
      <c r="X58" s="40"/>
      <c r="Y58" s="40"/>
      <c r="Z58" s="40"/>
      <c r="AA58" s="40"/>
      <c r="AB58" s="40"/>
      <c r="AC58" s="40"/>
      <c r="AD58" s="40"/>
      <c r="AE58" s="40"/>
      <c r="AF58" s="40"/>
      <c r="AG58" s="40"/>
      <c r="AH58" s="40"/>
      <c r="AI58" s="40"/>
    </row>
    <row r="59" spans="1:35" x14ac:dyDescent="0.2">
      <c r="A59" s="30">
        <v>5937</v>
      </c>
      <c r="B59" s="13" t="s">
        <v>930</v>
      </c>
      <c r="C59" s="40">
        <v>5000</v>
      </c>
      <c r="D59" s="40">
        <v>5000</v>
      </c>
      <c r="E59" s="40">
        <v>5000</v>
      </c>
      <c r="F59" s="40">
        <v>5000</v>
      </c>
      <c r="G59" s="40">
        <v>5000</v>
      </c>
      <c r="H59" s="40">
        <v>5000</v>
      </c>
      <c r="I59" s="40">
        <v>5000</v>
      </c>
      <c r="J59" s="40">
        <v>5000</v>
      </c>
      <c r="K59" s="40">
        <v>5000</v>
      </c>
      <c r="L59" s="40">
        <v>5000</v>
      </c>
      <c r="M59" s="40">
        <v>5000</v>
      </c>
      <c r="N59" s="40">
        <v>5000</v>
      </c>
      <c r="O59" s="40">
        <v>5000</v>
      </c>
      <c r="P59" s="40">
        <v>5000</v>
      </c>
      <c r="Q59" s="40">
        <v>5000</v>
      </c>
      <c r="R59" s="40">
        <v>5000</v>
      </c>
      <c r="S59" s="40">
        <v>5000</v>
      </c>
      <c r="T59" s="40"/>
      <c r="U59" s="40"/>
      <c r="V59" s="40"/>
      <c r="W59" s="40"/>
      <c r="X59" s="40"/>
      <c r="Y59" s="40"/>
      <c r="Z59" s="40"/>
      <c r="AA59" s="40"/>
      <c r="AB59" s="40"/>
      <c r="AC59" s="40"/>
      <c r="AD59" s="40"/>
      <c r="AE59" s="40"/>
      <c r="AF59" s="40"/>
      <c r="AG59" s="40"/>
      <c r="AH59" s="40"/>
      <c r="AI59" s="40"/>
    </row>
    <row r="60" spans="1:35" x14ac:dyDescent="0.2">
      <c r="A60" s="30">
        <v>5938</v>
      </c>
      <c r="B60" s="13" t="s">
        <v>760</v>
      </c>
      <c r="C60" s="40"/>
      <c r="D60" s="40">
        <v>10000</v>
      </c>
      <c r="E60" s="40">
        <v>10000</v>
      </c>
      <c r="F60" s="40">
        <v>10000</v>
      </c>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61" spans="1:35" x14ac:dyDescent="0.2">
      <c r="A61" s="30">
        <v>5939</v>
      </c>
      <c r="B61" s="13" t="s">
        <v>761</v>
      </c>
      <c r="C61" s="40"/>
      <c r="D61" s="40">
        <v>10000</v>
      </c>
      <c r="E61" s="40">
        <v>10000</v>
      </c>
      <c r="F61" s="40">
        <v>10000</v>
      </c>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row>
    <row r="62" spans="1:35" x14ac:dyDescent="0.2">
      <c r="A62" s="30">
        <v>5944</v>
      </c>
      <c r="B62" s="13" t="s">
        <v>1036</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row>
    <row r="63" spans="1:35" x14ac:dyDescent="0.2">
      <c r="A63" s="30">
        <v>5947</v>
      </c>
      <c r="B63" s="13" t="s">
        <v>1102</v>
      </c>
      <c r="C63" s="40"/>
      <c r="D63" s="40">
        <v>3100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row>
    <row r="64" spans="1:35" ht="13.5" thickBot="1" x14ac:dyDescent="0.25">
      <c r="A64" s="12"/>
      <c r="B64" s="13"/>
      <c r="C64" s="17"/>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row>
    <row r="65" spans="1:35" x14ac:dyDescent="0.2">
      <c r="A65" s="12"/>
      <c r="B65" s="13" t="s">
        <v>1118</v>
      </c>
      <c r="C65" s="20"/>
      <c r="D65" s="15">
        <f>ROUND((105000*0.93),0)</f>
        <v>97650</v>
      </c>
      <c r="E65" s="15">
        <f t="shared" ref="E65:K65" si="35">ROUND((105000*0.93),0)</f>
        <v>97650</v>
      </c>
      <c r="F65" s="15">
        <f t="shared" si="35"/>
        <v>97650</v>
      </c>
      <c r="G65" s="15">
        <f t="shared" si="35"/>
        <v>97650</v>
      </c>
      <c r="H65" s="15">
        <f t="shared" si="35"/>
        <v>97650</v>
      </c>
      <c r="I65" s="15">
        <f t="shared" si="35"/>
        <v>97650</v>
      </c>
      <c r="J65" s="15">
        <f t="shared" si="35"/>
        <v>97650</v>
      </c>
      <c r="K65" s="15">
        <f t="shared" si="35"/>
        <v>97650</v>
      </c>
      <c r="L65" s="15"/>
      <c r="M65" s="15"/>
      <c r="N65" s="15"/>
      <c r="O65" s="15"/>
      <c r="P65" s="15"/>
      <c r="Q65" s="15"/>
      <c r="R65" s="15"/>
      <c r="S65" s="15"/>
      <c r="T65" s="15"/>
      <c r="U65" s="15"/>
      <c r="V65" s="15"/>
      <c r="W65" s="15"/>
      <c r="X65" s="15"/>
      <c r="Y65" s="15"/>
      <c r="Z65" s="15"/>
      <c r="AA65" s="15"/>
      <c r="AB65" s="15"/>
      <c r="AC65" s="15"/>
      <c r="AD65" s="15"/>
      <c r="AE65" s="15"/>
      <c r="AF65" s="15"/>
      <c r="AG65" s="15"/>
      <c r="AH65" s="15"/>
      <c r="AI65" s="15"/>
    </row>
    <row r="66" spans="1:35" x14ac:dyDescent="0.2">
      <c r="A66" s="12"/>
      <c r="B66" s="13" t="s">
        <v>1119</v>
      </c>
      <c r="C66" s="20"/>
      <c r="D66" s="20">
        <v>60000</v>
      </c>
      <c r="E66" s="20">
        <v>60000</v>
      </c>
      <c r="F66" s="20">
        <v>60000</v>
      </c>
      <c r="G66" s="20">
        <v>60000</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row>
    <row r="67" spans="1:35" x14ac:dyDescent="0.2">
      <c r="A67" s="12"/>
      <c r="B67" s="13"/>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row>
    <row r="68" spans="1:35" x14ac:dyDescent="0.2">
      <c r="A68" s="12"/>
      <c r="B68" s="13" t="s">
        <v>1111</v>
      </c>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row>
    <row r="69" spans="1:35" x14ac:dyDescent="0.2">
      <c r="A69" s="12">
        <v>5910</v>
      </c>
      <c r="B69" s="13" t="s">
        <v>222</v>
      </c>
      <c r="C69" s="40">
        <f>2923+1960</f>
        <v>4883</v>
      </c>
      <c r="D69" s="40">
        <f>1960+980</f>
        <v>2940</v>
      </c>
      <c r="E69" s="40">
        <v>980</v>
      </c>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row>
    <row r="70" spans="1:35" x14ac:dyDescent="0.2">
      <c r="A70" s="12">
        <v>5916</v>
      </c>
      <c r="B70" s="13" t="s">
        <v>386</v>
      </c>
      <c r="C70" s="15">
        <f>1400+1100+2000+1800</f>
        <v>6300</v>
      </c>
      <c r="D70" s="15">
        <f>1100+900+1800+1600</f>
        <v>5400</v>
      </c>
      <c r="E70" s="15">
        <f>900+700+1600+1400</f>
        <v>4600</v>
      </c>
      <c r="F70" s="15">
        <f>700+600+1400+1200</f>
        <v>3900</v>
      </c>
      <c r="G70" s="15">
        <f>600+500+1200+1000</f>
        <v>3300</v>
      </c>
      <c r="H70" s="15">
        <f>500+400+1000+800</f>
        <v>2700</v>
      </c>
      <c r="I70" s="15">
        <f>400+300+800+600</f>
        <v>2100</v>
      </c>
      <c r="J70" s="15">
        <f>300+200+600+400</f>
        <v>1500</v>
      </c>
      <c r="K70" s="15">
        <f>200+100+400+200</f>
        <v>900</v>
      </c>
      <c r="L70" s="15">
        <f>100+200</f>
        <v>300</v>
      </c>
      <c r="M70" s="15"/>
      <c r="N70" s="15"/>
      <c r="O70" s="15"/>
      <c r="P70" s="15"/>
      <c r="Q70" s="15"/>
      <c r="R70" s="15"/>
      <c r="S70" s="15"/>
      <c r="T70" s="15"/>
      <c r="U70" s="15"/>
      <c r="V70" s="15"/>
      <c r="W70" s="15"/>
      <c r="X70" s="15"/>
      <c r="Y70" s="15"/>
      <c r="Z70" s="15"/>
      <c r="AA70" s="15"/>
      <c r="AB70" s="15"/>
      <c r="AC70" s="15"/>
      <c r="AD70" s="15"/>
      <c r="AE70" s="15"/>
      <c r="AF70" s="15"/>
      <c r="AG70" s="15"/>
      <c r="AH70" s="15"/>
      <c r="AI70" s="15"/>
    </row>
    <row r="71" spans="1:35" x14ac:dyDescent="0.2">
      <c r="A71" s="12">
        <v>5920</v>
      </c>
      <c r="B71" s="13" t="s">
        <v>933</v>
      </c>
      <c r="C71" s="15">
        <f>73150+68050</f>
        <v>141200</v>
      </c>
      <c r="D71" s="15">
        <f>68050+62750</f>
        <v>130800</v>
      </c>
      <c r="E71" s="15">
        <f>62750+57250</f>
        <v>120000</v>
      </c>
      <c r="F71" s="15">
        <f>57250+51450</f>
        <v>108700</v>
      </c>
      <c r="G71" s="15">
        <f>51450+45450</f>
        <v>96900</v>
      </c>
      <c r="H71" s="15">
        <f>45450+39150</f>
        <v>84600</v>
      </c>
      <c r="I71" s="15">
        <f>39150+32550</f>
        <v>71700</v>
      </c>
      <c r="J71" s="15">
        <f>32550+25650</f>
        <v>58200</v>
      </c>
      <c r="K71" s="15">
        <f>25650+17550</f>
        <v>43200</v>
      </c>
      <c r="L71" s="15">
        <f>17550+9113</f>
        <v>26663</v>
      </c>
      <c r="M71" s="15">
        <v>9113</v>
      </c>
      <c r="N71" s="15"/>
      <c r="O71" s="15"/>
      <c r="P71" s="15"/>
      <c r="Q71" s="15"/>
      <c r="R71" s="15"/>
      <c r="S71" s="15"/>
      <c r="T71" s="15"/>
      <c r="U71" s="15"/>
      <c r="V71" s="15"/>
      <c r="W71" s="15"/>
      <c r="X71" s="15"/>
      <c r="Y71" s="15"/>
      <c r="Z71" s="15"/>
      <c r="AA71" s="15"/>
      <c r="AB71" s="15"/>
      <c r="AC71" s="15"/>
      <c r="AD71" s="15"/>
      <c r="AE71" s="15"/>
      <c r="AF71" s="15"/>
      <c r="AG71" s="15"/>
      <c r="AH71" s="15"/>
      <c r="AI71" s="15"/>
    </row>
    <row r="72" spans="1:35" x14ac:dyDescent="0.2">
      <c r="A72" s="12">
        <v>5930</v>
      </c>
      <c r="B72" s="69" t="s">
        <v>36</v>
      </c>
      <c r="C72" s="132">
        <f t="shared" ref="C72:C77" si="36">+C157</f>
        <v>4266</v>
      </c>
      <c r="D72" s="132">
        <f t="shared" ref="D72:AI72" si="37">+D157</f>
        <v>3638</v>
      </c>
      <c r="E72" s="132">
        <f t="shared" si="37"/>
        <v>3241</v>
      </c>
      <c r="F72" s="132">
        <f t="shared" si="37"/>
        <v>2836</v>
      </c>
      <c r="G72" s="132">
        <f t="shared" si="37"/>
        <v>2424</v>
      </c>
      <c r="H72" s="132">
        <f t="shared" si="37"/>
        <v>2002</v>
      </c>
      <c r="I72" s="132">
        <f t="shared" si="37"/>
        <v>1572</v>
      </c>
      <c r="J72" s="132">
        <f t="shared" si="37"/>
        <v>1134</v>
      </c>
      <c r="K72" s="132">
        <f t="shared" si="37"/>
        <v>687</v>
      </c>
      <c r="L72" s="132">
        <f t="shared" si="37"/>
        <v>231</v>
      </c>
      <c r="M72" s="132">
        <f t="shared" si="37"/>
        <v>0</v>
      </c>
      <c r="N72" s="132">
        <f t="shared" si="37"/>
        <v>0</v>
      </c>
      <c r="O72" s="132">
        <f t="shared" si="37"/>
        <v>0</v>
      </c>
      <c r="P72" s="132">
        <f t="shared" si="37"/>
        <v>0</v>
      </c>
      <c r="Q72" s="132">
        <f t="shared" si="37"/>
        <v>0</v>
      </c>
      <c r="R72" s="132">
        <f t="shared" si="37"/>
        <v>0</v>
      </c>
      <c r="S72" s="132">
        <f t="shared" si="37"/>
        <v>0</v>
      </c>
      <c r="T72" s="132">
        <f t="shared" si="37"/>
        <v>0</v>
      </c>
      <c r="U72" s="132">
        <f t="shared" si="37"/>
        <v>0</v>
      </c>
      <c r="V72" s="132">
        <f t="shared" si="37"/>
        <v>0</v>
      </c>
      <c r="W72" s="132">
        <f t="shared" si="37"/>
        <v>0</v>
      </c>
      <c r="X72" s="132">
        <f t="shared" si="37"/>
        <v>0</v>
      </c>
      <c r="Y72" s="132">
        <f t="shared" si="37"/>
        <v>0</v>
      </c>
      <c r="Z72" s="132">
        <f t="shared" si="37"/>
        <v>0</v>
      </c>
      <c r="AA72" s="132">
        <f t="shared" si="37"/>
        <v>0</v>
      </c>
      <c r="AB72" s="132">
        <f t="shared" si="37"/>
        <v>0</v>
      </c>
      <c r="AC72" s="132">
        <f t="shared" si="37"/>
        <v>0</v>
      </c>
      <c r="AD72" s="132">
        <f t="shared" si="37"/>
        <v>0</v>
      </c>
      <c r="AE72" s="132">
        <f t="shared" si="37"/>
        <v>0</v>
      </c>
      <c r="AF72" s="132">
        <f t="shared" si="37"/>
        <v>0</v>
      </c>
      <c r="AG72" s="132">
        <f t="shared" si="37"/>
        <v>0</v>
      </c>
      <c r="AH72" s="132">
        <f t="shared" si="37"/>
        <v>0</v>
      </c>
      <c r="AI72" s="132">
        <f t="shared" si="37"/>
        <v>0</v>
      </c>
    </row>
    <row r="73" spans="1:35" x14ac:dyDescent="0.2">
      <c r="A73" s="12" t="s">
        <v>599</v>
      </c>
      <c r="B73" s="69" t="s">
        <v>39</v>
      </c>
      <c r="C73" s="132">
        <f t="shared" si="36"/>
        <v>302</v>
      </c>
      <c r="D73" s="132">
        <f t="shared" ref="D73:AI73" si="38">+D158</f>
        <v>273</v>
      </c>
      <c r="E73" s="132">
        <f t="shared" si="38"/>
        <v>243</v>
      </c>
      <c r="F73" s="132">
        <f t="shared" si="38"/>
        <v>213</v>
      </c>
      <c r="G73" s="132">
        <f t="shared" si="38"/>
        <v>182</v>
      </c>
      <c r="H73" s="132">
        <f t="shared" si="38"/>
        <v>150</v>
      </c>
      <c r="I73" s="132">
        <f t="shared" si="38"/>
        <v>118</v>
      </c>
      <c r="J73" s="132">
        <f t="shared" si="38"/>
        <v>85</v>
      </c>
      <c r="K73" s="132">
        <f t="shared" si="38"/>
        <v>52</v>
      </c>
      <c r="L73" s="132">
        <f t="shared" si="38"/>
        <v>178</v>
      </c>
      <c r="M73" s="132">
        <f t="shared" si="38"/>
        <v>0</v>
      </c>
      <c r="N73" s="132">
        <f t="shared" si="38"/>
        <v>0</v>
      </c>
      <c r="O73" s="132">
        <f t="shared" si="38"/>
        <v>0</v>
      </c>
      <c r="P73" s="132">
        <f t="shared" si="38"/>
        <v>0</v>
      </c>
      <c r="Q73" s="132">
        <f t="shared" si="38"/>
        <v>0</v>
      </c>
      <c r="R73" s="132">
        <f t="shared" si="38"/>
        <v>0</v>
      </c>
      <c r="S73" s="132">
        <f t="shared" si="38"/>
        <v>0</v>
      </c>
      <c r="T73" s="132">
        <f t="shared" si="38"/>
        <v>0</v>
      </c>
      <c r="U73" s="132">
        <f t="shared" si="38"/>
        <v>0</v>
      </c>
      <c r="V73" s="132">
        <f t="shared" si="38"/>
        <v>0</v>
      </c>
      <c r="W73" s="132">
        <f t="shared" si="38"/>
        <v>0</v>
      </c>
      <c r="X73" s="132">
        <f t="shared" si="38"/>
        <v>0</v>
      </c>
      <c r="Y73" s="132">
        <f t="shared" si="38"/>
        <v>0</v>
      </c>
      <c r="Z73" s="132">
        <f t="shared" si="38"/>
        <v>0</v>
      </c>
      <c r="AA73" s="132">
        <f t="shared" si="38"/>
        <v>0</v>
      </c>
      <c r="AB73" s="132">
        <f t="shared" si="38"/>
        <v>0</v>
      </c>
      <c r="AC73" s="132">
        <f t="shared" si="38"/>
        <v>0</v>
      </c>
      <c r="AD73" s="132">
        <f t="shared" si="38"/>
        <v>0</v>
      </c>
      <c r="AE73" s="132">
        <f t="shared" si="38"/>
        <v>0</v>
      </c>
      <c r="AF73" s="132">
        <f t="shared" si="38"/>
        <v>0</v>
      </c>
      <c r="AG73" s="132">
        <f t="shared" si="38"/>
        <v>0</v>
      </c>
      <c r="AH73" s="132">
        <f t="shared" si="38"/>
        <v>0</v>
      </c>
      <c r="AI73" s="132">
        <f t="shared" si="38"/>
        <v>0</v>
      </c>
    </row>
    <row r="74" spans="1:35" x14ac:dyDescent="0.2">
      <c r="A74" s="12">
        <v>5931</v>
      </c>
      <c r="B74" s="69" t="s">
        <v>37</v>
      </c>
      <c r="C74" s="132">
        <f t="shared" si="36"/>
        <v>14054</v>
      </c>
      <c r="D74" s="132">
        <f t="shared" ref="D74:AI74" si="39">+D159</f>
        <v>13468</v>
      </c>
      <c r="E74" s="132">
        <f t="shared" si="39"/>
        <v>12921</v>
      </c>
      <c r="F74" s="132">
        <f t="shared" si="39"/>
        <v>12360</v>
      </c>
      <c r="G74" s="132">
        <f t="shared" si="39"/>
        <v>11785</v>
      </c>
      <c r="H74" s="132">
        <f t="shared" si="39"/>
        <v>11197</v>
      </c>
      <c r="I74" s="132">
        <f t="shared" si="39"/>
        <v>10594</v>
      </c>
      <c r="J74" s="132">
        <f t="shared" si="39"/>
        <v>9976</v>
      </c>
      <c r="K74" s="132">
        <f t="shared" si="39"/>
        <v>9343</v>
      </c>
      <c r="L74" s="132">
        <f t="shared" si="39"/>
        <v>8695</v>
      </c>
      <c r="M74" s="132">
        <f t="shared" si="39"/>
        <v>8031</v>
      </c>
      <c r="N74" s="132">
        <f t="shared" si="39"/>
        <v>7350</v>
      </c>
      <c r="O74" s="132">
        <f t="shared" si="39"/>
        <v>6653</v>
      </c>
      <c r="P74" s="132">
        <f t="shared" si="39"/>
        <v>5939</v>
      </c>
      <c r="Q74" s="132">
        <f t="shared" si="39"/>
        <v>5208</v>
      </c>
      <c r="R74" s="132">
        <f t="shared" si="39"/>
        <v>4458</v>
      </c>
      <c r="S74" s="132">
        <f t="shared" si="39"/>
        <v>3691</v>
      </c>
      <c r="T74" s="132">
        <f t="shared" si="39"/>
        <v>2904</v>
      </c>
      <c r="U74" s="132">
        <f t="shared" si="39"/>
        <v>2099</v>
      </c>
      <c r="V74" s="132">
        <f t="shared" si="39"/>
        <v>1274</v>
      </c>
      <c r="W74" s="132">
        <f t="shared" si="39"/>
        <v>428</v>
      </c>
      <c r="X74" s="132">
        <f t="shared" si="39"/>
        <v>0</v>
      </c>
      <c r="Y74" s="132">
        <f t="shared" si="39"/>
        <v>0</v>
      </c>
      <c r="Z74" s="132">
        <f t="shared" si="39"/>
        <v>0</v>
      </c>
      <c r="AA74" s="132">
        <f t="shared" si="39"/>
        <v>0</v>
      </c>
      <c r="AB74" s="132">
        <f t="shared" si="39"/>
        <v>0</v>
      </c>
      <c r="AC74" s="132">
        <f t="shared" si="39"/>
        <v>0</v>
      </c>
      <c r="AD74" s="132">
        <f t="shared" si="39"/>
        <v>0</v>
      </c>
      <c r="AE74" s="132">
        <f t="shared" si="39"/>
        <v>0</v>
      </c>
      <c r="AF74" s="132">
        <f t="shared" si="39"/>
        <v>0</v>
      </c>
      <c r="AG74" s="132">
        <f t="shared" si="39"/>
        <v>0</v>
      </c>
      <c r="AH74" s="132">
        <f t="shared" si="39"/>
        <v>0</v>
      </c>
      <c r="AI74" s="132">
        <f t="shared" si="39"/>
        <v>0</v>
      </c>
    </row>
    <row r="75" spans="1:35" x14ac:dyDescent="0.2">
      <c r="A75" s="12" t="s">
        <v>600</v>
      </c>
      <c r="B75" s="69" t="s">
        <v>40</v>
      </c>
      <c r="C75" s="132">
        <f t="shared" si="36"/>
        <v>870</v>
      </c>
      <c r="D75" s="132">
        <f t="shared" ref="D75:AI75" si="40">+D160</f>
        <v>837</v>
      </c>
      <c r="E75" s="132">
        <f t="shared" si="40"/>
        <v>803</v>
      </c>
      <c r="F75" s="132">
        <f t="shared" si="40"/>
        <v>768</v>
      </c>
      <c r="G75" s="132">
        <f t="shared" si="40"/>
        <v>732</v>
      </c>
      <c r="H75" s="132">
        <f t="shared" si="40"/>
        <v>696</v>
      </c>
      <c r="I75" s="132">
        <f t="shared" si="40"/>
        <v>658</v>
      </c>
      <c r="J75" s="132">
        <f t="shared" si="40"/>
        <v>580</v>
      </c>
      <c r="K75" s="132">
        <f t="shared" si="40"/>
        <v>581</v>
      </c>
      <c r="L75" s="132">
        <f t="shared" si="40"/>
        <v>540</v>
      </c>
      <c r="M75" s="132">
        <f t="shared" si="40"/>
        <v>499</v>
      </c>
      <c r="N75" s="132">
        <f t="shared" si="40"/>
        <v>457</v>
      </c>
      <c r="O75" s="132">
        <f t="shared" si="40"/>
        <v>414</v>
      </c>
      <c r="P75" s="132">
        <f t="shared" si="40"/>
        <v>369</v>
      </c>
      <c r="Q75" s="132">
        <f t="shared" si="40"/>
        <v>324</v>
      </c>
      <c r="R75" s="132">
        <f t="shared" si="40"/>
        <v>277</v>
      </c>
      <c r="S75" s="132">
        <f t="shared" si="40"/>
        <v>230</v>
      </c>
      <c r="T75" s="132">
        <f t="shared" si="40"/>
        <v>181</v>
      </c>
      <c r="U75" s="132">
        <f t="shared" si="40"/>
        <v>131</v>
      </c>
      <c r="V75" s="132">
        <f t="shared" si="40"/>
        <v>79</v>
      </c>
      <c r="W75" s="132">
        <f t="shared" si="40"/>
        <v>27</v>
      </c>
      <c r="X75" s="132">
        <f t="shared" si="40"/>
        <v>0</v>
      </c>
      <c r="Y75" s="132">
        <f t="shared" si="40"/>
        <v>0</v>
      </c>
      <c r="Z75" s="132">
        <f t="shared" si="40"/>
        <v>0</v>
      </c>
      <c r="AA75" s="132">
        <f t="shared" si="40"/>
        <v>0</v>
      </c>
      <c r="AB75" s="132">
        <f t="shared" si="40"/>
        <v>0</v>
      </c>
      <c r="AC75" s="132">
        <f t="shared" si="40"/>
        <v>0</v>
      </c>
      <c r="AD75" s="132">
        <f t="shared" si="40"/>
        <v>0</v>
      </c>
      <c r="AE75" s="132">
        <f t="shared" si="40"/>
        <v>0</v>
      </c>
      <c r="AF75" s="132">
        <f t="shared" si="40"/>
        <v>0</v>
      </c>
      <c r="AG75" s="132">
        <f t="shared" si="40"/>
        <v>0</v>
      </c>
      <c r="AH75" s="132">
        <f t="shared" si="40"/>
        <v>0</v>
      </c>
      <c r="AI75" s="132">
        <f t="shared" si="40"/>
        <v>0</v>
      </c>
    </row>
    <row r="76" spans="1:35" x14ac:dyDescent="0.2">
      <c r="A76" s="12">
        <v>5932</v>
      </c>
      <c r="B76" s="69" t="s">
        <v>38</v>
      </c>
      <c r="C76" s="132">
        <f t="shared" si="36"/>
        <v>15860</v>
      </c>
      <c r="D76" s="132">
        <f t="shared" ref="D76:AI76" si="41">+D161</f>
        <v>15578</v>
      </c>
      <c r="E76" s="132">
        <f t="shared" si="41"/>
        <v>15283</v>
      </c>
      <c r="F76" s="132">
        <f t="shared" si="41"/>
        <v>14976</v>
      </c>
      <c r="G76" s="132">
        <f t="shared" si="41"/>
        <v>14656</v>
      </c>
      <c r="H76" s="132">
        <f t="shared" si="41"/>
        <v>14321</v>
      </c>
      <c r="I76" s="132">
        <f t="shared" si="41"/>
        <v>13972</v>
      </c>
      <c r="J76" s="132">
        <f t="shared" si="41"/>
        <v>13608</v>
      </c>
      <c r="K76" s="132">
        <f t="shared" si="41"/>
        <v>13227</v>
      </c>
      <c r="L76" s="132">
        <f t="shared" si="41"/>
        <v>12830</v>
      </c>
      <c r="M76" s="132">
        <f t="shared" si="41"/>
        <v>12416</v>
      </c>
      <c r="N76" s="132">
        <f t="shared" si="41"/>
        <v>11983</v>
      </c>
      <c r="O76" s="132">
        <f t="shared" si="41"/>
        <v>11532</v>
      </c>
      <c r="P76" s="132">
        <f t="shared" si="41"/>
        <v>11060</v>
      </c>
      <c r="Q76" s="132">
        <f t="shared" si="41"/>
        <v>10568</v>
      </c>
      <c r="R76" s="132">
        <f t="shared" si="41"/>
        <v>10055</v>
      </c>
      <c r="S76" s="132">
        <f t="shared" si="41"/>
        <v>9519</v>
      </c>
      <c r="T76" s="132">
        <f t="shared" si="41"/>
        <v>8960</v>
      </c>
      <c r="U76" s="132">
        <f t="shared" si="41"/>
        <v>8376</v>
      </c>
      <c r="V76" s="132">
        <f t="shared" si="41"/>
        <v>7767</v>
      </c>
      <c r="W76" s="132">
        <f t="shared" si="41"/>
        <v>7131</v>
      </c>
      <c r="X76" s="132">
        <f t="shared" si="41"/>
        <v>6467</v>
      </c>
      <c r="Y76" s="132">
        <f t="shared" si="41"/>
        <v>5774</v>
      </c>
      <c r="Z76" s="132">
        <f t="shared" si="41"/>
        <v>5051</v>
      </c>
      <c r="AA76" s="132">
        <f t="shared" si="41"/>
        <v>4296</v>
      </c>
      <c r="AB76" s="132">
        <f t="shared" si="41"/>
        <v>3508</v>
      </c>
      <c r="AC76" s="132">
        <f t="shared" si="41"/>
        <v>2686</v>
      </c>
      <c r="AD76" s="132">
        <f t="shared" si="41"/>
        <v>1828</v>
      </c>
      <c r="AE76" s="132">
        <f t="shared" si="41"/>
        <v>932</v>
      </c>
      <c r="AF76" s="132">
        <f t="shared" si="41"/>
        <v>0</v>
      </c>
      <c r="AG76" s="132">
        <f t="shared" si="41"/>
        <v>0</v>
      </c>
      <c r="AH76" s="132">
        <f t="shared" si="41"/>
        <v>0</v>
      </c>
      <c r="AI76" s="132">
        <f t="shared" si="41"/>
        <v>0</v>
      </c>
    </row>
    <row r="77" spans="1:35" x14ac:dyDescent="0.2">
      <c r="A77" s="12">
        <v>5933</v>
      </c>
      <c r="B77" s="69" t="s">
        <v>341</v>
      </c>
      <c r="C77" s="132">
        <f t="shared" si="36"/>
        <v>14729</v>
      </c>
      <c r="D77" s="132">
        <f t="shared" ref="D77:AI77" si="42">+D162</f>
        <v>14486</v>
      </c>
      <c r="E77" s="132">
        <f t="shared" si="42"/>
        <v>14233</v>
      </c>
      <c r="F77" s="132">
        <f t="shared" si="42"/>
        <v>13970</v>
      </c>
      <c r="G77" s="132">
        <f t="shared" si="42"/>
        <v>13695</v>
      </c>
      <c r="H77" s="132">
        <f t="shared" si="42"/>
        <v>13410</v>
      </c>
      <c r="I77" s="132">
        <f t="shared" si="42"/>
        <v>13112</v>
      </c>
      <c r="J77" s="132">
        <f t="shared" si="42"/>
        <v>12802</v>
      </c>
      <c r="K77" s="132">
        <f t="shared" si="42"/>
        <v>12480</v>
      </c>
      <c r="L77" s="132">
        <f t="shared" si="42"/>
        <v>12144</v>
      </c>
      <c r="M77" s="132">
        <f t="shared" si="42"/>
        <v>11795</v>
      </c>
      <c r="N77" s="132">
        <f t="shared" si="42"/>
        <v>11431</v>
      </c>
      <c r="O77" s="132">
        <f t="shared" si="42"/>
        <v>11052</v>
      </c>
      <c r="P77" s="132">
        <f t="shared" si="42"/>
        <v>10657</v>
      </c>
      <c r="Q77" s="132">
        <f t="shared" si="42"/>
        <v>10246</v>
      </c>
      <c r="R77" s="132">
        <f t="shared" si="42"/>
        <v>9818</v>
      </c>
      <c r="S77" s="132">
        <f t="shared" si="42"/>
        <v>9372</v>
      </c>
      <c r="T77" s="132">
        <f t="shared" si="42"/>
        <v>8908</v>
      </c>
      <c r="U77" s="132">
        <f t="shared" si="42"/>
        <v>8425</v>
      </c>
      <c r="V77" s="132">
        <f t="shared" si="42"/>
        <v>7922</v>
      </c>
      <c r="W77" s="132">
        <f t="shared" si="42"/>
        <v>7398</v>
      </c>
      <c r="X77" s="132">
        <f t="shared" si="42"/>
        <v>6853</v>
      </c>
      <c r="Y77" s="132">
        <f t="shared" si="42"/>
        <v>6285</v>
      </c>
      <c r="Z77" s="132">
        <f t="shared" si="42"/>
        <v>5694</v>
      </c>
      <c r="AA77" s="132">
        <f t="shared" si="42"/>
        <v>5078</v>
      </c>
      <c r="AB77" s="132">
        <f t="shared" si="42"/>
        <v>4437</v>
      </c>
      <c r="AC77" s="132">
        <f t="shared" si="42"/>
        <v>3769</v>
      </c>
      <c r="AD77" s="132">
        <f t="shared" si="42"/>
        <v>3074</v>
      </c>
      <c r="AE77" s="132">
        <f t="shared" si="42"/>
        <v>2350</v>
      </c>
      <c r="AF77" s="132">
        <f t="shared" si="42"/>
        <v>1597</v>
      </c>
      <c r="AG77" s="132">
        <f t="shared" si="42"/>
        <v>812</v>
      </c>
      <c r="AH77" s="132">
        <f t="shared" si="42"/>
        <v>0</v>
      </c>
      <c r="AI77" s="132">
        <f t="shared" si="42"/>
        <v>0</v>
      </c>
    </row>
    <row r="78" spans="1:35" x14ac:dyDescent="0.2">
      <c r="A78" s="12">
        <v>5934</v>
      </c>
      <c r="B78" s="13" t="s">
        <v>679</v>
      </c>
      <c r="C78" s="40">
        <f>1137.5+1037.5</f>
        <v>2175</v>
      </c>
      <c r="D78" s="40">
        <f>1037.5+937.5</f>
        <v>1975</v>
      </c>
      <c r="E78" s="40">
        <f>937.5+837.5</f>
        <v>1775</v>
      </c>
      <c r="F78" s="40">
        <f>837.5+737.5</f>
        <v>1575</v>
      </c>
      <c r="G78" s="40">
        <f>737.5+637.5</f>
        <v>1375</v>
      </c>
      <c r="H78" s="40">
        <f>637.5+537.5</f>
        <v>1175</v>
      </c>
      <c r="I78" s="40">
        <f>537.5+437.5</f>
        <v>975</v>
      </c>
      <c r="J78" s="40">
        <f>437.5+337.5</f>
        <v>775</v>
      </c>
      <c r="K78" s="40">
        <f>337.5+225+0.5</f>
        <v>563</v>
      </c>
      <c r="L78" s="40">
        <f>225+113</f>
        <v>338</v>
      </c>
      <c r="M78" s="40">
        <v>113</v>
      </c>
      <c r="N78" s="40"/>
      <c r="O78" s="40"/>
      <c r="P78" s="40"/>
      <c r="Q78" s="40"/>
      <c r="R78" s="40"/>
      <c r="S78" s="40"/>
      <c r="T78" s="40"/>
      <c r="U78" s="40"/>
      <c r="V78" s="40"/>
      <c r="W78" s="40"/>
      <c r="X78" s="40"/>
      <c r="Y78" s="40"/>
      <c r="Z78" s="40"/>
      <c r="AA78" s="40"/>
      <c r="AB78" s="40"/>
      <c r="AC78" s="40"/>
      <c r="AD78" s="40"/>
      <c r="AE78" s="40"/>
      <c r="AF78" s="40"/>
      <c r="AG78" s="40"/>
      <c r="AH78" s="40"/>
      <c r="AI78" s="40"/>
    </row>
    <row r="79" spans="1:35" x14ac:dyDescent="0.2">
      <c r="A79" s="12">
        <v>5936</v>
      </c>
      <c r="B79" s="31" t="s">
        <v>730</v>
      </c>
      <c r="C79" s="40">
        <v>2645</v>
      </c>
      <c r="D79" s="40">
        <v>2505</v>
      </c>
      <c r="E79" s="40">
        <v>2361</v>
      </c>
      <c r="F79" s="40">
        <v>2213</v>
      </c>
      <c r="G79" s="40">
        <v>2062</v>
      </c>
      <c r="H79" s="40">
        <v>1907</v>
      </c>
      <c r="I79" s="40">
        <v>1748</v>
      </c>
      <c r="J79" s="40">
        <v>1585</v>
      </c>
      <c r="K79" s="40">
        <v>1419</v>
      </c>
      <c r="L79" s="40">
        <v>1247</v>
      </c>
      <c r="M79" s="40">
        <v>1072</v>
      </c>
      <c r="N79" s="40">
        <v>892</v>
      </c>
      <c r="O79" s="40">
        <v>708</v>
      </c>
      <c r="P79" s="40">
        <v>519</v>
      </c>
      <c r="Q79" s="40">
        <v>326</v>
      </c>
      <c r="R79" s="40">
        <v>127</v>
      </c>
      <c r="S79" s="40"/>
      <c r="T79" s="40"/>
      <c r="U79" s="40"/>
      <c r="V79" s="40"/>
      <c r="W79" s="40"/>
      <c r="X79" s="40"/>
      <c r="Y79" s="40"/>
      <c r="Z79" s="40"/>
      <c r="AA79" s="40"/>
      <c r="AB79" s="40"/>
      <c r="AC79" s="40"/>
      <c r="AD79" s="40"/>
      <c r="AE79" s="40"/>
      <c r="AF79" s="40"/>
      <c r="AG79" s="40"/>
      <c r="AH79" s="40"/>
      <c r="AI79" s="40"/>
    </row>
    <row r="80" spans="1:35" x14ac:dyDescent="0.2">
      <c r="A80" s="30">
        <v>5937</v>
      </c>
      <c r="B80" s="31" t="s">
        <v>931</v>
      </c>
      <c r="C80" s="40">
        <v>2975</v>
      </c>
      <c r="D80" s="40">
        <v>2825</v>
      </c>
      <c r="E80" s="40">
        <v>2675</v>
      </c>
      <c r="F80" s="40">
        <v>2525</v>
      </c>
      <c r="G80" s="40">
        <v>2375</v>
      </c>
      <c r="H80" s="40">
        <v>2225</v>
      </c>
      <c r="I80" s="40">
        <v>2075</v>
      </c>
      <c r="J80" s="40">
        <v>1925</v>
      </c>
      <c r="K80" s="40">
        <v>1738</v>
      </c>
      <c r="L80" s="40">
        <v>1550</v>
      </c>
      <c r="M80" s="40">
        <v>1363</v>
      </c>
      <c r="N80" s="40">
        <v>1175</v>
      </c>
      <c r="O80" s="40">
        <v>988</v>
      </c>
      <c r="P80" s="40">
        <v>800</v>
      </c>
      <c r="Q80" s="40">
        <v>600</v>
      </c>
      <c r="R80" s="40">
        <v>400</v>
      </c>
      <c r="S80" s="40">
        <v>200</v>
      </c>
      <c r="T80" s="40"/>
      <c r="U80" s="40"/>
      <c r="V80" s="40"/>
      <c r="W80" s="40"/>
      <c r="X80" s="40"/>
      <c r="Y80" s="40"/>
      <c r="Z80" s="40"/>
      <c r="AA80" s="40"/>
      <c r="AB80" s="40"/>
      <c r="AC80" s="40"/>
      <c r="AD80" s="40"/>
      <c r="AE80" s="40"/>
      <c r="AF80" s="40"/>
      <c r="AG80" s="40"/>
      <c r="AH80" s="40"/>
      <c r="AI80" s="40"/>
    </row>
    <row r="81" spans="1:35" x14ac:dyDescent="0.2">
      <c r="A81" s="30">
        <v>5938</v>
      </c>
      <c r="B81" s="13" t="s">
        <v>760</v>
      </c>
      <c r="C81" s="40"/>
      <c r="D81" s="40">
        <v>645</v>
      </c>
      <c r="E81" s="40">
        <v>430</v>
      </c>
      <c r="F81" s="40">
        <v>215</v>
      </c>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row>
    <row r="82" spans="1:35" x14ac:dyDescent="0.2">
      <c r="A82" s="30">
        <v>5939</v>
      </c>
      <c r="B82" s="13" t="s">
        <v>761</v>
      </c>
      <c r="C82" s="40"/>
      <c r="D82" s="40">
        <v>645</v>
      </c>
      <c r="E82" s="40">
        <v>430</v>
      </c>
      <c r="F82" s="40">
        <v>215</v>
      </c>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row>
    <row r="83" spans="1:35" x14ac:dyDescent="0.2">
      <c r="A83" s="30">
        <v>5944</v>
      </c>
      <c r="B83" s="13" t="s">
        <v>1036</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row>
    <row r="84" spans="1:35" x14ac:dyDescent="0.2">
      <c r="A84" s="30">
        <v>5947</v>
      </c>
      <c r="B84" s="31" t="s">
        <v>1100</v>
      </c>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row>
    <row r="85" spans="1:35" x14ac:dyDescent="0.2">
      <c r="A85" s="30"/>
      <c r="B85" s="3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row>
    <row r="86" spans="1:35" x14ac:dyDescent="0.2">
      <c r="A86" s="30"/>
      <c r="B86" s="13" t="s">
        <v>1118</v>
      </c>
      <c r="C86" s="40"/>
      <c r="D86" s="15">
        <f>ROUND((37538*0.93),0)</f>
        <v>34910</v>
      </c>
      <c r="E86" s="15">
        <f>ROUND((32970*0.93),0)</f>
        <v>30662</v>
      </c>
      <c r="F86" s="15">
        <f>ROUND((28350*0.93),0)</f>
        <v>26366</v>
      </c>
      <c r="G86" s="15">
        <f>ROUND((23730*0.93),0)</f>
        <v>22069</v>
      </c>
      <c r="H86" s="15">
        <f>ROUND((19005*0.93),0)</f>
        <v>17675</v>
      </c>
      <c r="I86" s="15">
        <f>ROUND((14280*0.93),0)</f>
        <v>13280</v>
      </c>
      <c r="J86" s="15">
        <f>ROUND((9555*0.93),0)</f>
        <v>8886</v>
      </c>
      <c r="K86" s="15">
        <f>ROUND((4830*0.93),0)</f>
        <v>4492</v>
      </c>
      <c r="L86" s="40"/>
      <c r="M86" s="40"/>
      <c r="N86" s="40"/>
      <c r="O86" s="40"/>
      <c r="P86" s="40"/>
      <c r="Q86" s="40"/>
      <c r="R86" s="40"/>
      <c r="S86" s="40"/>
      <c r="T86" s="40"/>
      <c r="U86" s="40"/>
      <c r="V86" s="40"/>
      <c r="W86" s="40"/>
      <c r="X86" s="40"/>
      <c r="Y86" s="40"/>
      <c r="Z86" s="40"/>
      <c r="AA86" s="40"/>
      <c r="AB86" s="40"/>
      <c r="AC86" s="40"/>
      <c r="AD86" s="40"/>
      <c r="AE86" s="40"/>
      <c r="AF86" s="40"/>
      <c r="AG86" s="40"/>
      <c r="AH86" s="40"/>
      <c r="AI86" s="40"/>
    </row>
    <row r="87" spans="1:35" x14ac:dyDescent="0.2">
      <c r="A87" s="30"/>
      <c r="B87" s="13" t="s">
        <v>1119</v>
      </c>
      <c r="C87" s="40"/>
      <c r="D87" s="40">
        <v>6552</v>
      </c>
      <c r="E87" s="40">
        <v>4914</v>
      </c>
      <c r="F87" s="40">
        <v>3276</v>
      </c>
      <c r="G87" s="40">
        <v>1638</v>
      </c>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row>
    <row r="88" spans="1:35" ht="13.5" thickBot="1" x14ac:dyDescent="0.25">
      <c r="A88" s="30"/>
      <c r="B88" s="31"/>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row>
    <row r="89" spans="1:35" x14ac:dyDescent="0.2">
      <c r="A89" s="30"/>
      <c r="B89" s="31" t="s">
        <v>1115</v>
      </c>
      <c r="D89" s="29">
        <f t="shared" ref="D89:AI89" si="43">SUM(D50:D88)</f>
        <v>808886</v>
      </c>
      <c r="E89" s="29">
        <f t="shared" si="43"/>
        <v>795496</v>
      </c>
      <c r="F89" s="29">
        <f t="shared" si="43"/>
        <v>751060</v>
      </c>
      <c r="G89" s="29">
        <f t="shared" si="43"/>
        <v>721554</v>
      </c>
      <c r="H89" s="29">
        <f t="shared" si="43"/>
        <v>657205</v>
      </c>
      <c r="I89" s="29">
        <f t="shared" si="43"/>
        <v>653889</v>
      </c>
      <c r="J89" s="29">
        <f t="shared" si="43"/>
        <v>649934</v>
      </c>
      <c r="K89" s="29">
        <f t="shared" si="43"/>
        <v>644510</v>
      </c>
      <c r="L89" s="29">
        <f t="shared" si="43"/>
        <v>539903</v>
      </c>
      <c r="M89" s="29">
        <f t="shared" si="43"/>
        <v>513151</v>
      </c>
      <c r="N89" s="29">
        <f t="shared" si="43"/>
        <v>93693</v>
      </c>
      <c r="O89" s="29">
        <f t="shared" si="43"/>
        <v>93464</v>
      </c>
      <c r="P89" s="29">
        <f t="shared" si="43"/>
        <v>93230</v>
      </c>
      <c r="Q89" s="29">
        <f t="shared" si="43"/>
        <v>92986</v>
      </c>
      <c r="R89" s="29">
        <f t="shared" si="43"/>
        <v>92737</v>
      </c>
      <c r="S89" s="29">
        <f t="shared" si="43"/>
        <v>84228</v>
      </c>
      <c r="T89" s="29">
        <f t="shared" si="43"/>
        <v>78979</v>
      </c>
      <c r="U89" s="29">
        <f t="shared" si="43"/>
        <v>78929</v>
      </c>
      <c r="V89" s="29">
        <f t="shared" si="43"/>
        <v>78877</v>
      </c>
      <c r="W89" s="29">
        <f t="shared" si="43"/>
        <v>78824</v>
      </c>
      <c r="X89" s="29">
        <f t="shared" si="43"/>
        <v>42923</v>
      </c>
      <c r="Y89" s="29">
        <f t="shared" si="43"/>
        <v>42923</v>
      </c>
      <c r="Z89" s="29">
        <f t="shared" si="43"/>
        <v>42924</v>
      </c>
      <c r="AA89" s="29">
        <f t="shared" si="43"/>
        <v>42923</v>
      </c>
      <c r="AB89" s="29">
        <f t="shared" si="43"/>
        <v>42924</v>
      </c>
      <c r="AC89" s="29">
        <f t="shared" si="43"/>
        <v>42923</v>
      </c>
      <c r="AD89" s="29">
        <f t="shared" si="43"/>
        <v>42923</v>
      </c>
      <c r="AE89" s="29">
        <f t="shared" si="43"/>
        <v>42854</v>
      </c>
      <c r="AF89" s="29">
        <f t="shared" si="43"/>
        <v>20621</v>
      </c>
      <c r="AG89" s="29">
        <f t="shared" si="43"/>
        <v>20497</v>
      </c>
      <c r="AH89" s="29">
        <f t="shared" si="43"/>
        <v>0</v>
      </c>
      <c r="AI89" s="29">
        <f t="shared" si="43"/>
        <v>0</v>
      </c>
    </row>
    <row r="90" spans="1:35" ht="13.5" thickBot="1" x14ac:dyDescent="0.25">
      <c r="A90" s="30"/>
      <c r="B90" s="31"/>
    </row>
    <row r="91" spans="1:35" ht="14.25" thickTop="1" thickBot="1" x14ac:dyDescent="0.25">
      <c r="A91" s="30"/>
      <c r="B91" s="106" t="s">
        <v>1112</v>
      </c>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row>
    <row r="92" spans="1:35" x14ac:dyDescent="0.2">
      <c r="A92" s="12" t="s">
        <v>511</v>
      </c>
      <c r="B92" s="13" t="s">
        <v>519</v>
      </c>
      <c r="C92" s="135">
        <v>30000</v>
      </c>
      <c r="D92" s="135">
        <v>30000</v>
      </c>
      <c r="E92" s="135">
        <v>30000</v>
      </c>
      <c r="F92" s="40">
        <v>25000</v>
      </c>
      <c r="G92" s="40">
        <v>25000</v>
      </c>
      <c r="H92" s="40">
        <v>25000</v>
      </c>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row>
    <row r="93" spans="1:35" x14ac:dyDescent="0.2">
      <c r="A93" s="12" t="s">
        <v>515</v>
      </c>
      <c r="B93" s="13" t="s">
        <v>520</v>
      </c>
      <c r="C93" s="135">
        <v>5000</v>
      </c>
      <c r="D93" s="135">
        <v>5000</v>
      </c>
      <c r="E93" s="135">
        <v>5000</v>
      </c>
      <c r="F93" s="135">
        <v>5000</v>
      </c>
      <c r="G93" s="135">
        <v>5000</v>
      </c>
      <c r="H93" s="135"/>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row>
    <row r="94" spans="1:35" x14ac:dyDescent="0.2">
      <c r="A94" s="12" t="s">
        <v>510</v>
      </c>
      <c r="B94" s="13" t="s">
        <v>43</v>
      </c>
      <c r="C94" s="40">
        <v>14863</v>
      </c>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row>
    <row r="95" spans="1:35" x14ac:dyDescent="0.2">
      <c r="A95" s="12" t="s">
        <v>395</v>
      </c>
      <c r="B95" s="13" t="s">
        <v>389</v>
      </c>
      <c r="C95" s="40">
        <v>15000</v>
      </c>
      <c r="D95" s="40">
        <v>15000</v>
      </c>
      <c r="E95" s="40">
        <v>15000</v>
      </c>
      <c r="F95" s="40">
        <v>15000</v>
      </c>
      <c r="G95" s="40">
        <v>10000</v>
      </c>
      <c r="H95" s="40">
        <v>10000</v>
      </c>
      <c r="I95" s="40">
        <v>10000</v>
      </c>
      <c r="J95" s="40">
        <v>10000</v>
      </c>
      <c r="K95" s="40">
        <v>10000</v>
      </c>
      <c r="L95" s="40">
        <v>10000</v>
      </c>
      <c r="M95" s="40"/>
      <c r="N95" s="40"/>
      <c r="O95" s="40"/>
      <c r="P95" s="40"/>
      <c r="Q95" s="40"/>
      <c r="R95" s="40"/>
      <c r="S95" s="40"/>
      <c r="T95" s="40"/>
      <c r="U95" s="40"/>
      <c r="V95" s="40"/>
      <c r="W95" s="40"/>
      <c r="X95" s="40"/>
      <c r="Y95" s="40"/>
      <c r="Z95" s="40"/>
      <c r="AA95" s="40"/>
      <c r="AB95" s="40"/>
      <c r="AC95" s="40"/>
      <c r="AD95" s="40"/>
      <c r="AE95" s="40"/>
      <c r="AF95" s="40"/>
      <c r="AG95" s="40"/>
      <c r="AH95" s="40"/>
      <c r="AI95" s="40"/>
    </row>
    <row r="96" spans="1:35" x14ac:dyDescent="0.2">
      <c r="A96" s="12" t="s">
        <v>582</v>
      </c>
      <c r="B96" s="69" t="s">
        <v>36</v>
      </c>
      <c r="C96" s="135">
        <f>+C167</f>
        <v>28869</v>
      </c>
      <c r="D96" s="135">
        <f t="shared" ref="D96:AI99" si="44">+D167</f>
        <v>29452</v>
      </c>
      <c r="E96" s="135">
        <f t="shared" si="44"/>
        <v>30047</v>
      </c>
      <c r="F96" s="135">
        <f t="shared" si="44"/>
        <v>31141</v>
      </c>
      <c r="G96" s="135">
        <f t="shared" si="44"/>
        <v>31274</v>
      </c>
      <c r="H96" s="135">
        <f t="shared" si="44"/>
        <v>31906</v>
      </c>
      <c r="I96" s="135">
        <f t="shared" si="44"/>
        <v>32550</v>
      </c>
      <c r="J96" s="135">
        <f t="shared" si="44"/>
        <v>33208</v>
      </c>
      <c r="K96" s="135">
        <f t="shared" si="44"/>
        <v>33878</v>
      </c>
      <c r="L96" s="135">
        <f t="shared" si="44"/>
        <v>34563</v>
      </c>
      <c r="M96" s="135">
        <f t="shared" si="44"/>
        <v>0</v>
      </c>
      <c r="N96" s="135">
        <f t="shared" si="44"/>
        <v>0</v>
      </c>
      <c r="O96" s="135">
        <f t="shared" si="44"/>
        <v>0</v>
      </c>
      <c r="P96" s="135">
        <f t="shared" si="44"/>
        <v>0</v>
      </c>
      <c r="Q96" s="135">
        <f t="shared" si="44"/>
        <v>0</v>
      </c>
      <c r="R96" s="135">
        <f t="shared" si="44"/>
        <v>0</v>
      </c>
      <c r="S96" s="135">
        <f t="shared" si="44"/>
        <v>0</v>
      </c>
      <c r="T96" s="135">
        <f t="shared" si="44"/>
        <v>0</v>
      </c>
      <c r="U96" s="135">
        <f t="shared" si="44"/>
        <v>0</v>
      </c>
      <c r="V96" s="135">
        <f t="shared" si="44"/>
        <v>0</v>
      </c>
      <c r="W96" s="135">
        <f t="shared" si="44"/>
        <v>0</v>
      </c>
      <c r="X96" s="135">
        <f t="shared" si="44"/>
        <v>0</v>
      </c>
      <c r="Y96" s="135">
        <f t="shared" si="44"/>
        <v>0</v>
      </c>
      <c r="Z96" s="135">
        <f t="shared" si="44"/>
        <v>0</v>
      </c>
      <c r="AA96" s="135">
        <f t="shared" si="44"/>
        <v>0</v>
      </c>
      <c r="AB96" s="135">
        <f t="shared" si="44"/>
        <v>0</v>
      </c>
      <c r="AC96" s="135">
        <f t="shared" si="44"/>
        <v>0</v>
      </c>
      <c r="AD96" s="135">
        <f t="shared" si="44"/>
        <v>0</v>
      </c>
      <c r="AE96" s="135">
        <f t="shared" si="44"/>
        <v>0</v>
      </c>
      <c r="AF96" s="135">
        <f t="shared" si="44"/>
        <v>0</v>
      </c>
      <c r="AG96" s="135">
        <f t="shared" si="44"/>
        <v>0</v>
      </c>
      <c r="AH96" s="135">
        <f t="shared" si="44"/>
        <v>0</v>
      </c>
      <c r="AI96" s="135">
        <f t="shared" si="44"/>
        <v>0</v>
      </c>
    </row>
    <row r="97" spans="1:35" x14ac:dyDescent="0.2">
      <c r="A97" s="12" t="s">
        <v>583</v>
      </c>
      <c r="B97" s="69" t="s">
        <v>37</v>
      </c>
      <c r="C97" s="135">
        <f>+C168</f>
        <v>32807</v>
      </c>
      <c r="D97" s="135">
        <f t="shared" ref="D97:R97" si="45">+D168</f>
        <v>33610</v>
      </c>
      <c r="E97" s="135">
        <f t="shared" si="45"/>
        <v>34430</v>
      </c>
      <c r="F97" s="135">
        <f t="shared" si="45"/>
        <v>35272</v>
      </c>
      <c r="G97" s="135">
        <f t="shared" si="45"/>
        <v>36134</v>
      </c>
      <c r="H97" s="135">
        <f t="shared" si="45"/>
        <v>37016</v>
      </c>
      <c r="I97" s="135">
        <f t="shared" si="45"/>
        <v>37921</v>
      </c>
      <c r="J97" s="135">
        <f t="shared" si="45"/>
        <v>38848</v>
      </c>
      <c r="K97" s="135">
        <f t="shared" si="45"/>
        <v>39797</v>
      </c>
      <c r="L97" s="135">
        <f t="shared" si="45"/>
        <v>40769</v>
      </c>
      <c r="M97" s="135">
        <f t="shared" si="45"/>
        <v>41765</v>
      </c>
      <c r="N97" s="135">
        <f t="shared" si="45"/>
        <v>42786</v>
      </c>
      <c r="O97" s="135">
        <f t="shared" si="45"/>
        <v>43832</v>
      </c>
      <c r="P97" s="135">
        <f t="shared" si="45"/>
        <v>44903</v>
      </c>
      <c r="Q97" s="135">
        <f t="shared" si="45"/>
        <v>46000</v>
      </c>
      <c r="R97" s="135">
        <f t="shared" si="45"/>
        <v>47124</v>
      </c>
      <c r="S97" s="135">
        <f t="shared" si="44"/>
        <v>48275</v>
      </c>
      <c r="T97" s="135">
        <f t="shared" si="44"/>
        <v>49455</v>
      </c>
      <c r="U97" s="135">
        <f t="shared" si="44"/>
        <v>50663</v>
      </c>
      <c r="V97" s="135">
        <f t="shared" si="44"/>
        <v>51901</v>
      </c>
      <c r="W97" s="135">
        <f t="shared" si="44"/>
        <v>53170</v>
      </c>
      <c r="X97" s="135">
        <f t="shared" si="44"/>
        <v>0</v>
      </c>
      <c r="Y97" s="135">
        <f t="shared" si="44"/>
        <v>0</v>
      </c>
      <c r="Z97" s="135">
        <f t="shared" si="44"/>
        <v>0</v>
      </c>
      <c r="AA97" s="135">
        <f t="shared" si="44"/>
        <v>0</v>
      </c>
      <c r="AB97" s="135">
        <f t="shared" si="44"/>
        <v>0</v>
      </c>
      <c r="AC97" s="135">
        <f t="shared" si="44"/>
        <v>0</v>
      </c>
      <c r="AD97" s="135">
        <f t="shared" si="44"/>
        <v>0</v>
      </c>
      <c r="AE97" s="135">
        <f t="shared" si="44"/>
        <v>0</v>
      </c>
      <c r="AF97" s="135">
        <f t="shared" si="44"/>
        <v>0</v>
      </c>
      <c r="AG97" s="135">
        <f t="shared" si="44"/>
        <v>0</v>
      </c>
      <c r="AH97" s="135">
        <f t="shared" si="44"/>
        <v>0</v>
      </c>
      <c r="AI97" s="135">
        <f t="shared" si="44"/>
        <v>0</v>
      </c>
    </row>
    <row r="98" spans="1:35" x14ac:dyDescent="0.2">
      <c r="A98" s="12" t="s">
        <v>584</v>
      </c>
      <c r="B98" s="69" t="s">
        <v>38</v>
      </c>
      <c r="C98" s="135">
        <f>+C169</f>
        <v>9665</v>
      </c>
      <c r="D98" s="135">
        <f t="shared" si="44"/>
        <v>10088</v>
      </c>
      <c r="E98" s="135">
        <f t="shared" si="44"/>
        <v>10530</v>
      </c>
      <c r="F98" s="135">
        <f t="shared" si="44"/>
        <v>10990</v>
      </c>
      <c r="G98" s="135">
        <f t="shared" si="44"/>
        <v>11471</v>
      </c>
      <c r="H98" s="135">
        <f t="shared" si="44"/>
        <v>11973</v>
      </c>
      <c r="I98" s="135">
        <f t="shared" si="44"/>
        <v>12497</v>
      </c>
      <c r="J98" s="135">
        <f t="shared" si="44"/>
        <v>13043</v>
      </c>
      <c r="K98" s="135">
        <f t="shared" si="44"/>
        <v>13614</v>
      </c>
      <c r="L98" s="135">
        <f t="shared" si="44"/>
        <v>14210</v>
      </c>
      <c r="M98" s="135">
        <f t="shared" si="44"/>
        <v>14831</v>
      </c>
      <c r="N98" s="135">
        <f t="shared" si="44"/>
        <v>15481</v>
      </c>
      <c r="O98" s="135">
        <f t="shared" si="44"/>
        <v>16157</v>
      </c>
      <c r="P98" s="135">
        <f t="shared" si="44"/>
        <v>16864</v>
      </c>
      <c r="Q98" s="135">
        <f t="shared" si="44"/>
        <v>17602</v>
      </c>
      <c r="R98" s="135">
        <f t="shared" si="44"/>
        <v>18373</v>
      </c>
      <c r="S98" s="135">
        <f t="shared" si="44"/>
        <v>19176</v>
      </c>
      <c r="T98" s="135">
        <f t="shared" si="44"/>
        <v>20015</v>
      </c>
      <c r="U98" s="135">
        <f t="shared" si="44"/>
        <v>20891</v>
      </c>
      <c r="V98" s="135">
        <f t="shared" si="44"/>
        <v>21805</v>
      </c>
      <c r="W98" s="135">
        <f t="shared" si="44"/>
        <v>22759</v>
      </c>
      <c r="X98" s="135">
        <f t="shared" si="44"/>
        <v>23755</v>
      </c>
      <c r="Y98" s="135">
        <f t="shared" si="44"/>
        <v>24794</v>
      </c>
      <c r="Z98" s="135">
        <f t="shared" si="44"/>
        <v>25878</v>
      </c>
      <c r="AA98" s="135">
        <f t="shared" si="44"/>
        <v>27010</v>
      </c>
      <c r="AB98" s="135">
        <f t="shared" si="44"/>
        <v>28192</v>
      </c>
      <c r="AC98" s="135">
        <f t="shared" si="44"/>
        <v>29426</v>
      </c>
      <c r="AD98" s="135">
        <f t="shared" si="44"/>
        <v>30713</v>
      </c>
      <c r="AE98" s="135">
        <f t="shared" si="44"/>
        <v>31953</v>
      </c>
      <c r="AF98" s="135">
        <f t="shared" si="44"/>
        <v>0</v>
      </c>
      <c r="AG98" s="135">
        <f t="shared" si="44"/>
        <v>0</v>
      </c>
      <c r="AH98" s="135">
        <f t="shared" si="44"/>
        <v>0</v>
      </c>
      <c r="AI98" s="135">
        <f t="shared" si="44"/>
        <v>0</v>
      </c>
    </row>
    <row r="99" spans="1:35" x14ac:dyDescent="0.2">
      <c r="A99" s="12" t="s">
        <v>585</v>
      </c>
      <c r="B99" s="69" t="s">
        <v>341</v>
      </c>
      <c r="C99" s="135">
        <f>+C170</f>
        <v>8837</v>
      </c>
      <c r="D99" s="135">
        <f t="shared" si="44"/>
        <v>9202</v>
      </c>
      <c r="E99" s="135">
        <f t="shared" si="44"/>
        <v>9581</v>
      </c>
      <c r="F99" s="135">
        <f t="shared" si="44"/>
        <v>9976</v>
      </c>
      <c r="G99" s="135">
        <f t="shared" si="44"/>
        <v>10388</v>
      </c>
      <c r="H99" s="135">
        <f t="shared" si="44"/>
        <v>10816</v>
      </c>
      <c r="I99" s="135">
        <f t="shared" si="44"/>
        <v>11262</v>
      </c>
      <c r="J99" s="135">
        <f t="shared" si="44"/>
        <v>11727</v>
      </c>
      <c r="K99" s="135">
        <f t="shared" si="44"/>
        <v>12211</v>
      </c>
      <c r="L99" s="135">
        <f t="shared" si="44"/>
        <v>12714</v>
      </c>
      <c r="M99" s="135">
        <f t="shared" si="44"/>
        <v>13238</v>
      </c>
      <c r="N99" s="135">
        <f t="shared" si="44"/>
        <v>13784</v>
      </c>
      <c r="O99" s="135">
        <f t="shared" si="44"/>
        <v>14353</v>
      </c>
      <c r="P99" s="135">
        <f t="shared" si="44"/>
        <v>14945</v>
      </c>
      <c r="Q99" s="135">
        <f t="shared" si="44"/>
        <v>15562</v>
      </c>
      <c r="R99" s="135">
        <f t="shared" si="44"/>
        <v>16204</v>
      </c>
      <c r="S99" s="135">
        <f t="shared" si="44"/>
        <v>16872</v>
      </c>
      <c r="T99" s="135">
        <f t="shared" si="44"/>
        <v>17568</v>
      </c>
      <c r="U99" s="135">
        <f t="shared" si="44"/>
        <v>18293</v>
      </c>
      <c r="V99" s="135">
        <f t="shared" si="44"/>
        <v>19048</v>
      </c>
      <c r="W99" s="135">
        <f t="shared" si="44"/>
        <v>19833</v>
      </c>
      <c r="X99" s="135">
        <f t="shared" si="44"/>
        <v>20651</v>
      </c>
      <c r="Y99" s="135">
        <f t="shared" si="44"/>
        <v>21503</v>
      </c>
      <c r="Z99" s="135">
        <f t="shared" si="44"/>
        <v>22390</v>
      </c>
      <c r="AA99" s="135">
        <f t="shared" si="44"/>
        <v>23314</v>
      </c>
      <c r="AB99" s="135">
        <f t="shared" si="44"/>
        <v>24275</v>
      </c>
      <c r="AC99" s="135">
        <f t="shared" si="44"/>
        <v>25277</v>
      </c>
      <c r="AD99" s="135">
        <f t="shared" si="44"/>
        <v>26319</v>
      </c>
      <c r="AE99" s="135">
        <f t="shared" si="44"/>
        <v>27405</v>
      </c>
      <c r="AF99" s="135">
        <f t="shared" si="44"/>
        <v>28535</v>
      </c>
      <c r="AG99" s="135">
        <f t="shared" si="44"/>
        <v>29528</v>
      </c>
      <c r="AH99" s="135">
        <f t="shared" si="44"/>
        <v>0</v>
      </c>
      <c r="AI99" s="135">
        <f t="shared" si="44"/>
        <v>0</v>
      </c>
    </row>
    <row r="100" spans="1:35" x14ac:dyDescent="0.2">
      <c r="A100" s="12" t="s">
        <v>586</v>
      </c>
      <c r="B100" s="13" t="s">
        <v>42</v>
      </c>
      <c r="C100" s="40">
        <v>0</v>
      </c>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row>
    <row r="101" spans="1:35" x14ac:dyDescent="0.2">
      <c r="A101" s="12" t="s">
        <v>888</v>
      </c>
      <c r="B101" s="13" t="s">
        <v>932</v>
      </c>
      <c r="C101" s="40">
        <v>60000</v>
      </c>
      <c r="D101" s="40">
        <v>60000</v>
      </c>
      <c r="E101" s="40">
        <v>65000</v>
      </c>
      <c r="F101" s="40">
        <v>65000</v>
      </c>
      <c r="G101" s="40">
        <v>70000</v>
      </c>
      <c r="H101" s="40">
        <v>70000</v>
      </c>
      <c r="I101" s="40">
        <v>75000</v>
      </c>
      <c r="J101" s="40">
        <v>75000</v>
      </c>
      <c r="K101" s="40">
        <v>80000</v>
      </c>
      <c r="L101" s="40">
        <v>80000</v>
      </c>
      <c r="M101" s="40">
        <v>85000</v>
      </c>
      <c r="N101" s="40">
        <v>90000</v>
      </c>
      <c r="O101" s="40">
        <v>90000</v>
      </c>
      <c r="P101" s="40">
        <v>95000</v>
      </c>
      <c r="Q101" s="40">
        <v>100000</v>
      </c>
      <c r="R101" s="40">
        <v>105000</v>
      </c>
      <c r="S101" s="40">
        <v>110000</v>
      </c>
      <c r="T101" s="40"/>
      <c r="U101" s="40"/>
      <c r="V101" s="40"/>
      <c r="W101" s="40"/>
      <c r="X101" s="40"/>
      <c r="Y101" s="40"/>
      <c r="Z101" s="40"/>
      <c r="AA101" s="40"/>
      <c r="AB101" s="40"/>
      <c r="AC101" s="40"/>
      <c r="AD101" s="40"/>
      <c r="AE101" s="40"/>
      <c r="AF101" s="40"/>
      <c r="AG101" s="40"/>
      <c r="AH101" s="40"/>
      <c r="AI101" s="40"/>
    </row>
    <row r="102" spans="1:35" x14ac:dyDescent="0.2">
      <c r="A102" s="12" t="s">
        <v>1019</v>
      </c>
      <c r="B102" s="13" t="s">
        <v>1015</v>
      </c>
      <c r="C102" s="470">
        <v>67501</v>
      </c>
      <c r="D102" s="470">
        <v>64036</v>
      </c>
      <c r="E102" s="470">
        <v>65428</v>
      </c>
      <c r="F102" s="470">
        <v>66850</v>
      </c>
      <c r="G102" s="470">
        <v>68302</v>
      </c>
      <c r="H102" s="470">
        <v>69787</v>
      </c>
      <c r="I102" s="470">
        <v>71304</v>
      </c>
      <c r="J102" s="470">
        <v>72853</v>
      </c>
      <c r="K102" s="470">
        <v>74437</v>
      </c>
      <c r="L102" s="470">
        <v>76054</v>
      </c>
      <c r="M102" s="470">
        <v>77707</v>
      </c>
      <c r="N102" s="470">
        <v>79396</v>
      </c>
      <c r="O102" s="470">
        <v>8122</v>
      </c>
      <c r="P102" s="470">
        <v>82885</v>
      </c>
      <c r="Q102" s="470">
        <v>84686</v>
      </c>
      <c r="R102" s="470">
        <v>86527</v>
      </c>
      <c r="S102" s="470">
        <v>88407</v>
      </c>
      <c r="T102" s="470">
        <v>90329</v>
      </c>
      <c r="U102" s="470">
        <v>92292</v>
      </c>
      <c r="V102" s="470">
        <v>94298</v>
      </c>
      <c r="W102" s="470">
        <v>96347</v>
      </c>
      <c r="X102" s="40"/>
      <c r="Y102" s="40"/>
      <c r="Z102" s="40"/>
      <c r="AA102" s="40"/>
      <c r="AB102" s="40"/>
      <c r="AC102" s="40"/>
      <c r="AD102" s="40"/>
      <c r="AE102" s="40"/>
      <c r="AF102" s="40"/>
      <c r="AG102" s="40"/>
      <c r="AH102" s="40"/>
      <c r="AI102" s="40"/>
    </row>
    <row r="103" spans="1:35" x14ac:dyDescent="0.2">
      <c r="A103" s="12" t="s">
        <v>1032</v>
      </c>
      <c r="B103" s="13" t="s">
        <v>1034</v>
      </c>
      <c r="C103" s="470"/>
      <c r="D103" s="135"/>
      <c r="E103" s="135"/>
      <c r="F103" s="135"/>
      <c r="G103" s="135"/>
      <c r="H103" s="135"/>
      <c r="I103" s="135"/>
      <c r="J103" s="135"/>
      <c r="K103" s="135"/>
      <c r="L103" s="135"/>
      <c r="M103" s="135"/>
      <c r="N103" s="135"/>
      <c r="O103" s="135"/>
      <c r="P103" s="135"/>
      <c r="Q103" s="135"/>
      <c r="R103" s="135"/>
      <c r="S103" s="135"/>
      <c r="T103" s="135"/>
      <c r="U103" s="135"/>
      <c r="V103" s="135"/>
      <c r="W103" s="40"/>
      <c r="X103" s="40"/>
      <c r="Y103" s="40"/>
      <c r="Z103" s="40"/>
      <c r="AA103" s="40"/>
      <c r="AB103" s="40"/>
      <c r="AC103" s="40"/>
      <c r="AD103" s="40"/>
      <c r="AE103" s="40"/>
      <c r="AF103" s="40"/>
      <c r="AG103" s="40"/>
      <c r="AH103" s="40"/>
      <c r="AI103" s="40"/>
    </row>
    <row r="104" spans="1:35" x14ac:dyDescent="0.2">
      <c r="A104" s="12" t="s">
        <v>1033</v>
      </c>
      <c r="B104" s="13" t="s">
        <v>1035</v>
      </c>
      <c r="C104" s="470"/>
      <c r="D104" s="135"/>
      <c r="E104" s="135"/>
      <c r="F104" s="135"/>
      <c r="G104" s="135"/>
      <c r="H104" s="135"/>
      <c r="I104" s="135"/>
      <c r="J104" s="135"/>
      <c r="K104" s="135"/>
      <c r="L104" s="135"/>
      <c r="M104" s="135"/>
      <c r="N104" s="135"/>
      <c r="O104" s="135"/>
      <c r="P104" s="135"/>
      <c r="Q104" s="135"/>
      <c r="R104" s="135"/>
      <c r="S104" s="135"/>
      <c r="T104" s="135"/>
      <c r="U104" s="135"/>
      <c r="V104" s="135"/>
      <c r="W104" s="40"/>
      <c r="X104" s="40"/>
      <c r="Y104" s="40"/>
      <c r="Z104" s="40"/>
      <c r="AA104" s="40"/>
      <c r="AB104" s="40"/>
      <c r="AC104" s="40"/>
      <c r="AD104" s="40"/>
      <c r="AE104" s="40"/>
      <c r="AF104" s="40"/>
      <c r="AG104" s="40"/>
      <c r="AH104" s="40"/>
      <c r="AI104" s="40"/>
    </row>
    <row r="105" spans="1:35" x14ac:dyDescent="0.2">
      <c r="A105" s="12" t="s">
        <v>1096</v>
      </c>
      <c r="B105" s="13" t="s">
        <v>1092</v>
      </c>
      <c r="C105" s="470"/>
      <c r="D105" s="135"/>
      <c r="E105" s="135"/>
      <c r="F105" s="135"/>
      <c r="G105" s="135"/>
      <c r="H105" s="135"/>
      <c r="I105" s="135"/>
      <c r="J105" s="135"/>
      <c r="K105" s="135"/>
      <c r="L105" s="135"/>
      <c r="M105" s="135"/>
      <c r="N105" s="135"/>
      <c r="O105" s="135"/>
      <c r="P105" s="135"/>
      <c r="Q105" s="135"/>
      <c r="R105" s="135"/>
      <c r="S105" s="135"/>
      <c r="T105" s="135"/>
      <c r="U105" s="135"/>
      <c r="V105" s="135"/>
      <c r="W105" s="40"/>
      <c r="X105" s="40"/>
      <c r="Y105" s="40"/>
      <c r="Z105" s="40"/>
      <c r="AA105" s="40"/>
      <c r="AB105" s="40"/>
      <c r="AC105" s="40"/>
      <c r="AD105" s="40"/>
      <c r="AE105" s="40"/>
      <c r="AF105" s="40"/>
      <c r="AG105" s="40"/>
      <c r="AH105" s="40"/>
      <c r="AI105" s="40"/>
    </row>
    <row r="106" spans="1:35" x14ac:dyDescent="0.2">
      <c r="A106" s="12" t="s">
        <v>1099</v>
      </c>
      <c r="B106" s="13" t="s">
        <v>1095</v>
      </c>
      <c r="C106" s="470"/>
      <c r="D106" s="135">
        <v>5000</v>
      </c>
      <c r="E106" s="135"/>
      <c r="F106" s="135"/>
      <c r="G106" s="135"/>
      <c r="H106" s="135"/>
      <c r="I106" s="135"/>
      <c r="J106" s="135"/>
      <c r="K106" s="135"/>
      <c r="L106" s="135"/>
      <c r="M106" s="135"/>
      <c r="N106" s="135"/>
      <c r="O106" s="135"/>
      <c r="P106" s="135"/>
      <c r="Q106" s="135"/>
      <c r="R106" s="135"/>
      <c r="S106" s="135"/>
      <c r="T106" s="135"/>
      <c r="U106" s="135"/>
      <c r="V106" s="135"/>
      <c r="W106" s="40"/>
      <c r="X106" s="40"/>
      <c r="Y106" s="40"/>
      <c r="Z106" s="40"/>
      <c r="AA106" s="40"/>
      <c r="AB106" s="40"/>
      <c r="AC106" s="40"/>
      <c r="AD106" s="40"/>
      <c r="AE106" s="40"/>
      <c r="AF106" s="40"/>
      <c r="AG106" s="40"/>
      <c r="AH106" s="40"/>
      <c r="AI106" s="40"/>
    </row>
    <row r="107" spans="1:35" x14ac:dyDescent="0.2">
      <c r="A107" s="12"/>
      <c r="B107" s="13"/>
      <c r="C107" s="470"/>
      <c r="D107" s="135"/>
      <c r="E107" s="135"/>
      <c r="F107" s="135"/>
      <c r="G107" s="135"/>
      <c r="H107" s="135"/>
      <c r="I107" s="135"/>
      <c r="J107" s="135"/>
      <c r="K107" s="135"/>
      <c r="L107" s="135"/>
      <c r="M107" s="135"/>
      <c r="N107" s="135"/>
      <c r="O107" s="135"/>
      <c r="P107" s="135"/>
      <c r="Q107" s="135"/>
      <c r="R107" s="135"/>
      <c r="S107" s="135"/>
      <c r="T107" s="135"/>
      <c r="U107" s="135"/>
      <c r="V107" s="135"/>
      <c r="W107" s="40"/>
      <c r="X107" s="40"/>
      <c r="Y107" s="40"/>
      <c r="Z107" s="40"/>
      <c r="AA107" s="40"/>
      <c r="AB107" s="40"/>
      <c r="AC107" s="40"/>
      <c r="AD107" s="40"/>
      <c r="AE107" s="40"/>
      <c r="AF107" s="40"/>
      <c r="AG107" s="40"/>
      <c r="AH107" s="40"/>
      <c r="AI107" s="40"/>
    </row>
    <row r="108" spans="1:35" ht="13.5" thickBot="1" x14ac:dyDescent="0.25">
      <c r="A108" s="12"/>
      <c r="B108" s="105" t="s">
        <v>1113</v>
      </c>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row>
    <row r="109" spans="1:35" x14ac:dyDescent="0.2">
      <c r="A109" s="12" t="s">
        <v>514</v>
      </c>
      <c r="B109" s="13" t="s">
        <v>519</v>
      </c>
      <c r="C109" s="15">
        <f>4012.5+4012.5</f>
        <v>8025</v>
      </c>
      <c r="D109" s="15">
        <f>3337.5+3337.5</f>
        <v>6675</v>
      </c>
      <c r="E109" s="15">
        <f>2625+2625</f>
        <v>5250</v>
      </c>
      <c r="F109" s="15">
        <f>1875+1875</f>
        <v>3750</v>
      </c>
      <c r="G109" s="15">
        <f>1250+1250</f>
        <v>2500</v>
      </c>
      <c r="H109" s="15">
        <f>625+625</f>
        <v>1250</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row>
    <row r="110" spans="1:35" x14ac:dyDescent="0.2">
      <c r="A110" s="12" t="s">
        <v>516</v>
      </c>
      <c r="B110" s="13" t="s">
        <v>520</v>
      </c>
      <c r="C110" s="40">
        <v>1213</v>
      </c>
      <c r="D110" s="40">
        <v>988</v>
      </c>
      <c r="E110" s="40">
        <v>750</v>
      </c>
      <c r="F110" s="40">
        <v>500</v>
      </c>
      <c r="G110" s="40">
        <v>250</v>
      </c>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row>
    <row r="111" spans="1:35" x14ac:dyDescent="0.2">
      <c r="A111" s="12" t="s">
        <v>512</v>
      </c>
      <c r="B111" s="13" t="s">
        <v>43</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row>
    <row r="112" spans="1:35" x14ac:dyDescent="0.2">
      <c r="A112" s="12" t="s">
        <v>513</v>
      </c>
      <c r="B112" s="13" t="s">
        <v>45</v>
      </c>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row>
    <row r="113" spans="1:35" x14ac:dyDescent="0.2">
      <c r="A113" s="12" t="s">
        <v>396</v>
      </c>
      <c r="B113" s="13" t="s">
        <v>389</v>
      </c>
      <c r="C113" s="40">
        <f>2000+1800+400+300</f>
        <v>4500</v>
      </c>
      <c r="D113" s="40">
        <f>1800+1600+300+200</f>
        <v>3900</v>
      </c>
      <c r="E113" s="40">
        <f>1600+1400+200+100</f>
        <v>3300</v>
      </c>
      <c r="F113" s="40">
        <f>1400+1200+100</f>
        <v>2700</v>
      </c>
      <c r="G113" s="40">
        <v>2200</v>
      </c>
      <c r="H113" s="40">
        <v>1800</v>
      </c>
      <c r="I113" s="40">
        <v>1400</v>
      </c>
      <c r="J113" s="40">
        <v>1000</v>
      </c>
      <c r="K113" s="40">
        <v>600</v>
      </c>
      <c r="L113" s="40">
        <v>200</v>
      </c>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row>
    <row r="114" spans="1:35" x14ac:dyDescent="0.2">
      <c r="A114" s="12" t="s">
        <v>587</v>
      </c>
      <c r="B114" s="69" t="s">
        <v>36</v>
      </c>
      <c r="C114" s="266">
        <f t="shared" ref="C114:C119" si="46">+C173</f>
        <v>6400</v>
      </c>
      <c r="D114" s="266">
        <f t="shared" ref="D114:AI119" si="47">+D173</f>
        <v>5456</v>
      </c>
      <c r="E114" s="266">
        <f t="shared" si="47"/>
        <v>4861</v>
      </c>
      <c r="F114" s="266">
        <f t="shared" si="47"/>
        <v>4255</v>
      </c>
      <c r="G114" s="266">
        <f t="shared" si="47"/>
        <v>3635</v>
      </c>
      <c r="H114" s="266">
        <f t="shared" si="47"/>
        <v>3004</v>
      </c>
      <c r="I114" s="266">
        <f t="shared" si="47"/>
        <v>2359</v>
      </c>
      <c r="J114" s="266">
        <f t="shared" si="47"/>
        <v>1701</v>
      </c>
      <c r="K114" s="266">
        <f t="shared" si="47"/>
        <v>1030</v>
      </c>
      <c r="L114" s="266">
        <f t="shared" si="47"/>
        <v>346</v>
      </c>
      <c r="M114" s="266">
        <f t="shared" si="47"/>
        <v>0</v>
      </c>
      <c r="N114" s="266">
        <f t="shared" si="47"/>
        <v>0</v>
      </c>
      <c r="O114" s="266">
        <f t="shared" si="47"/>
        <v>0</v>
      </c>
      <c r="P114" s="266">
        <f t="shared" si="47"/>
        <v>0</v>
      </c>
      <c r="Q114" s="266">
        <f t="shared" si="47"/>
        <v>0</v>
      </c>
      <c r="R114" s="266">
        <f t="shared" si="47"/>
        <v>0</v>
      </c>
      <c r="S114" s="266">
        <f t="shared" si="47"/>
        <v>0</v>
      </c>
      <c r="T114" s="266">
        <f t="shared" si="47"/>
        <v>0</v>
      </c>
      <c r="U114" s="266">
        <f t="shared" si="47"/>
        <v>0</v>
      </c>
      <c r="V114" s="266">
        <f t="shared" si="47"/>
        <v>0</v>
      </c>
      <c r="W114" s="266">
        <f t="shared" si="47"/>
        <v>0</v>
      </c>
      <c r="X114" s="266">
        <f t="shared" si="47"/>
        <v>0</v>
      </c>
      <c r="Y114" s="266">
        <f t="shared" si="47"/>
        <v>0</v>
      </c>
      <c r="Z114" s="266">
        <f t="shared" si="47"/>
        <v>0</v>
      </c>
      <c r="AA114" s="266">
        <f t="shared" si="47"/>
        <v>0</v>
      </c>
      <c r="AB114" s="266">
        <f t="shared" si="47"/>
        <v>0</v>
      </c>
      <c r="AC114" s="266">
        <f t="shared" si="47"/>
        <v>0</v>
      </c>
      <c r="AD114" s="266">
        <f t="shared" si="47"/>
        <v>0</v>
      </c>
      <c r="AE114" s="266">
        <f t="shared" si="47"/>
        <v>0</v>
      </c>
      <c r="AF114" s="266">
        <f t="shared" si="47"/>
        <v>0</v>
      </c>
      <c r="AG114" s="266">
        <f t="shared" si="47"/>
        <v>0</v>
      </c>
      <c r="AH114" s="266">
        <f t="shared" si="47"/>
        <v>0</v>
      </c>
      <c r="AI114" s="266">
        <f t="shared" si="47"/>
        <v>0</v>
      </c>
    </row>
    <row r="115" spans="1:35" x14ac:dyDescent="0.2">
      <c r="A115" s="12" t="s">
        <v>588</v>
      </c>
      <c r="B115" s="69" t="s">
        <v>39</v>
      </c>
      <c r="C115" s="266">
        <f t="shared" si="46"/>
        <v>453</v>
      </c>
      <c r="D115" s="266">
        <f t="shared" ref="D115:R115" si="48">+D174</f>
        <v>410</v>
      </c>
      <c r="E115" s="266">
        <f t="shared" si="48"/>
        <v>365</v>
      </c>
      <c r="F115" s="266">
        <f t="shared" si="48"/>
        <v>319</v>
      </c>
      <c r="G115" s="266">
        <f t="shared" si="48"/>
        <v>273</v>
      </c>
      <c r="H115" s="266">
        <f t="shared" si="48"/>
        <v>226</v>
      </c>
      <c r="I115" s="266">
        <f t="shared" si="48"/>
        <v>177</v>
      </c>
      <c r="J115" s="266">
        <f t="shared" si="48"/>
        <v>128</v>
      </c>
      <c r="K115" s="266">
        <f t="shared" si="48"/>
        <v>77</v>
      </c>
      <c r="L115" s="266">
        <f t="shared" si="48"/>
        <v>266</v>
      </c>
      <c r="M115" s="266">
        <f t="shared" si="48"/>
        <v>0</v>
      </c>
      <c r="N115" s="266">
        <f t="shared" si="48"/>
        <v>0</v>
      </c>
      <c r="O115" s="266">
        <f t="shared" si="48"/>
        <v>0</v>
      </c>
      <c r="P115" s="266">
        <f t="shared" si="48"/>
        <v>0</v>
      </c>
      <c r="Q115" s="266">
        <f t="shared" si="48"/>
        <v>0</v>
      </c>
      <c r="R115" s="266">
        <f t="shared" si="48"/>
        <v>0</v>
      </c>
      <c r="S115" s="266">
        <f t="shared" si="47"/>
        <v>0</v>
      </c>
      <c r="T115" s="266">
        <f t="shared" si="47"/>
        <v>0</v>
      </c>
      <c r="U115" s="266">
        <f t="shared" si="47"/>
        <v>0</v>
      </c>
      <c r="V115" s="266">
        <f t="shared" si="47"/>
        <v>0</v>
      </c>
      <c r="W115" s="266">
        <f t="shared" si="47"/>
        <v>0</v>
      </c>
      <c r="X115" s="266">
        <f t="shared" si="47"/>
        <v>0</v>
      </c>
      <c r="Y115" s="266">
        <f t="shared" si="47"/>
        <v>0</v>
      </c>
      <c r="Z115" s="266">
        <f t="shared" si="47"/>
        <v>0</v>
      </c>
      <c r="AA115" s="266">
        <f t="shared" si="47"/>
        <v>0</v>
      </c>
      <c r="AB115" s="266">
        <f t="shared" si="47"/>
        <v>0</v>
      </c>
      <c r="AC115" s="266">
        <f t="shared" si="47"/>
        <v>0</v>
      </c>
      <c r="AD115" s="266">
        <f t="shared" si="47"/>
        <v>0</v>
      </c>
      <c r="AE115" s="266">
        <f t="shared" si="47"/>
        <v>0</v>
      </c>
      <c r="AF115" s="266">
        <f t="shared" si="47"/>
        <v>0</v>
      </c>
      <c r="AG115" s="266">
        <f t="shared" si="47"/>
        <v>0</v>
      </c>
      <c r="AH115" s="266">
        <f t="shared" si="47"/>
        <v>0</v>
      </c>
      <c r="AI115" s="266">
        <f t="shared" si="47"/>
        <v>0</v>
      </c>
    </row>
    <row r="116" spans="1:35" x14ac:dyDescent="0.2">
      <c r="A116" s="12" t="s">
        <v>589</v>
      </c>
      <c r="B116" s="69" t="s">
        <v>37</v>
      </c>
      <c r="C116" s="266">
        <f t="shared" si="46"/>
        <v>21081</v>
      </c>
      <c r="D116" s="266">
        <f t="shared" si="47"/>
        <v>20202</v>
      </c>
      <c r="E116" s="266">
        <f t="shared" si="47"/>
        <v>19381</v>
      </c>
      <c r="F116" s="266">
        <f t="shared" si="47"/>
        <v>18540</v>
      </c>
      <c r="G116" s="266">
        <f t="shared" si="47"/>
        <v>17678</v>
      </c>
      <c r="H116" s="266">
        <f t="shared" si="47"/>
        <v>16795</v>
      </c>
      <c r="I116" s="266">
        <f t="shared" si="47"/>
        <v>15890</v>
      </c>
      <c r="J116" s="266">
        <f t="shared" si="47"/>
        <v>14964</v>
      </c>
      <c r="K116" s="266">
        <f t="shared" si="47"/>
        <v>14015</v>
      </c>
      <c r="L116" s="266">
        <f t="shared" si="47"/>
        <v>13042</v>
      </c>
      <c r="M116" s="266">
        <f t="shared" si="47"/>
        <v>12046</v>
      </c>
      <c r="N116" s="266">
        <f t="shared" si="47"/>
        <v>11026</v>
      </c>
      <c r="O116" s="266">
        <f t="shared" si="47"/>
        <v>9980</v>
      </c>
      <c r="P116" s="266">
        <f t="shared" si="47"/>
        <v>8909</v>
      </c>
      <c r="Q116" s="266">
        <f t="shared" si="47"/>
        <v>7812</v>
      </c>
      <c r="R116" s="266">
        <f t="shared" si="47"/>
        <v>6688</v>
      </c>
      <c r="S116" s="266">
        <f t="shared" si="47"/>
        <v>5536</v>
      </c>
      <c r="T116" s="266">
        <f t="shared" si="47"/>
        <v>4357</v>
      </c>
      <c r="U116" s="266">
        <f t="shared" si="47"/>
        <v>3148</v>
      </c>
      <c r="V116" s="266">
        <f t="shared" si="47"/>
        <v>1910</v>
      </c>
      <c r="W116" s="266">
        <f t="shared" si="47"/>
        <v>642</v>
      </c>
      <c r="X116" s="266">
        <f t="shared" si="47"/>
        <v>0</v>
      </c>
      <c r="Y116" s="266">
        <f t="shared" si="47"/>
        <v>0</v>
      </c>
      <c r="Z116" s="266">
        <f t="shared" si="47"/>
        <v>0</v>
      </c>
      <c r="AA116" s="266">
        <f t="shared" si="47"/>
        <v>0</v>
      </c>
      <c r="AB116" s="266">
        <f t="shared" si="47"/>
        <v>0</v>
      </c>
      <c r="AC116" s="266">
        <f t="shared" si="47"/>
        <v>0</v>
      </c>
      <c r="AD116" s="266">
        <f t="shared" si="47"/>
        <v>0</v>
      </c>
      <c r="AE116" s="266">
        <f t="shared" si="47"/>
        <v>0</v>
      </c>
      <c r="AF116" s="266">
        <f t="shared" si="47"/>
        <v>0</v>
      </c>
      <c r="AG116" s="266">
        <f t="shared" si="47"/>
        <v>0</v>
      </c>
      <c r="AH116" s="266">
        <f t="shared" si="47"/>
        <v>0</v>
      </c>
      <c r="AI116" s="266">
        <f t="shared" si="47"/>
        <v>0</v>
      </c>
    </row>
    <row r="117" spans="1:35" x14ac:dyDescent="0.2">
      <c r="A117" s="12" t="s">
        <v>590</v>
      </c>
      <c r="B117" s="69" t="s">
        <v>40</v>
      </c>
      <c r="C117" s="266">
        <f t="shared" si="46"/>
        <v>1306</v>
      </c>
      <c r="D117" s="266">
        <f t="shared" si="47"/>
        <v>1256</v>
      </c>
      <c r="E117" s="266">
        <f t="shared" si="47"/>
        <v>1205</v>
      </c>
      <c r="F117" s="266">
        <f t="shared" si="47"/>
        <v>1152</v>
      </c>
      <c r="G117" s="266">
        <f t="shared" si="47"/>
        <v>1099</v>
      </c>
      <c r="H117" s="266">
        <f t="shared" si="47"/>
        <v>1044</v>
      </c>
      <c r="I117" s="266">
        <f t="shared" si="47"/>
        <v>988</v>
      </c>
      <c r="J117" s="266">
        <f t="shared" si="47"/>
        <v>870</v>
      </c>
      <c r="K117" s="266">
        <f t="shared" si="47"/>
        <v>871</v>
      </c>
      <c r="L117" s="266">
        <f t="shared" si="47"/>
        <v>811</v>
      </c>
      <c r="M117" s="266">
        <f t="shared" si="47"/>
        <v>749</v>
      </c>
      <c r="N117" s="266">
        <f t="shared" si="47"/>
        <v>685</v>
      </c>
      <c r="O117" s="266">
        <f t="shared" si="47"/>
        <v>620</v>
      </c>
      <c r="P117" s="266">
        <f t="shared" si="47"/>
        <v>554</v>
      </c>
      <c r="Q117" s="266">
        <f t="shared" si="47"/>
        <v>485</v>
      </c>
      <c r="R117" s="266">
        <f t="shared" si="47"/>
        <v>416</v>
      </c>
      <c r="S117" s="266">
        <f t="shared" si="47"/>
        <v>344</v>
      </c>
      <c r="T117" s="266">
        <f t="shared" si="47"/>
        <v>271</v>
      </c>
      <c r="U117" s="266">
        <f t="shared" si="47"/>
        <v>196</v>
      </c>
      <c r="V117" s="266">
        <f t="shared" si="47"/>
        <v>119</v>
      </c>
      <c r="W117" s="266">
        <f t="shared" si="47"/>
        <v>40</v>
      </c>
      <c r="X117" s="266">
        <f t="shared" si="47"/>
        <v>0</v>
      </c>
      <c r="Y117" s="266">
        <f t="shared" si="47"/>
        <v>0</v>
      </c>
      <c r="Z117" s="266">
        <f t="shared" si="47"/>
        <v>0</v>
      </c>
      <c r="AA117" s="266">
        <f t="shared" si="47"/>
        <v>0</v>
      </c>
      <c r="AB117" s="266">
        <f t="shared" si="47"/>
        <v>0</v>
      </c>
      <c r="AC117" s="266">
        <f t="shared" si="47"/>
        <v>0</v>
      </c>
      <c r="AD117" s="266">
        <f t="shared" si="47"/>
        <v>0</v>
      </c>
      <c r="AE117" s="266">
        <f t="shared" si="47"/>
        <v>0</v>
      </c>
      <c r="AF117" s="266">
        <f t="shared" si="47"/>
        <v>0</v>
      </c>
      <c r="AG117" s="266">
        <f t="shared" si="47"/>
        <v>0</v>
      </c>
      <c r="AH117" s="266">
        <f t="shared" si="47"/>
        <v>0</v>
      </c>
      <c r="AI117" s="266">
        <f t="shared" si="47"/>
        <v>0</v>
      </c>
    </row>
    <row r="118" spans="1:35" x14ac:dyDescent="0.2">
      <c r="A118" s="12" t="s">
        <v>591</v>
      </c>
      <c r="B118" s="69" t="s">
        <v>38</v>
      </c>
      <c r="C118" s="266">
        <f t="shared" si="46"/>
        <v>23789</v>
      </c>
      <c r="D118" s="266">
        <f t="shared" si="47"/>
        <v>23366</v>
      </c>
      <c r="E118" s="266">
        <f t="shared" si="47"/>
        <v>22925</v>
      </c>
      <c r="F118" s="266">
        <f t="shared" si="47"/>
        <v>22465</v>
      </c>
      <c r="G118" s="266">
        <f t="shared" si="47"/>
        <v>21983</v>
      </c>
      <c r="H118" s="266">
        <f t="shared" si="47"/>
        <v>21482</v>
      </c>
      <c r="I118" s="266">
        <f t="shared" si="47"/>
        <v>20958</v>
      </c>
      <c r="J118" s="266">
        <f t="shared" si="47"/>
        <v>20411</v>
      </c>
      <c r="K118" s="266">
        <f t="shared" si="47"/>
        <v>19841</v>
      </c>
      <c r="L118" s="266">
        <f t="shared" si="47"/>
        <v>19245</v>
      </c>
      <c r="M118" s="266">
        <f t="shared" si="47"/>
        <v>18623</v>
      </c>
      <c r="N118" s="266">
        <f t="shared" si="47"/>
        <v>17974</v>
      </c>
      <c r="O118" s="266">
        <f t="shared" si="47"/>
        <v>17297</v>
      </c>
      <c r="P118" s="266">
        <f t="shared" si="47"/>
        <v>16590</v>
      </c>
      <c r="Q118" s="266">
        <f t="shared" si="47"/>
        <v>15853</v>
      </c>
      <c r="R118" s="266">
        <f t="shared" si="47"/>
        <v>15082</v>
      </c>
      <c r="S118" s="266">
        <f t="shared" si="47"/>
        <v>14279</v>
      </c>
      <c r="T118" s="266">
        <f t="shared" si="47"/>
        <v>13439</v>
      </c>
      <c r="U118" s="266">
        <f t="shared" si="47"/>
        <v>12564</v>
      </c>
      <c r="V118" s="266">
        <f t="shared" si="47"/>
        <v>11650</v>
      </c>
      <c r="W118" s="266">
        <f t="shared" si="47"/>
        <v>10696</v>
      </c>
      <c r="X118" s="266">
        <f t="shared" si="47"/>
        <v>9700</v>
      </c>
      <c r="Y118" s="266">
        <f t="shared" si="47"/>
        <v>8661</v>
      </c>
      <c r="Z118" s="266">
        <f t="shared" si="47"/>
        <v>7577</v>
      </c>
      <c r="AA118" s="266">
        <f t="shared" si="47"/>
        <v>6445</v>
      </c>
      <c r="AB118" s="266">
        <f t="shared" si="47"/>
        <v>5263</v>
      </c>
      <c r="AC118" s="266">
        <f t="shared" si="47"/>
        <v>4029</v>
      </c>
      <c r="AD118" s="266">
        <f t="shared" si="47"/>
        <v>2742</v>
      </c>
      <c r="AE118" s="266">
        <f t="shared" si="47"/>
        <v>1398</v>
      </c>
      <c r="AF118" s="266">
        <f t="shared" si="47"/>
        <v>0</v>
      </c>
      <c r="AG118" s="266">
        <f t="shared" si="47"/>
        <v>0</v>
      </c>
      <c r="AH118" s="266">
        <f t="shared" si="47"/>
        <v>0</v>
      </c>
      <c r="AI118" s="266">
        <f t="shared" si="47"/>
        <v>0</v>
      </c>
    </row>
    <row r="119" spans="1:35" x14ac:dyDescent="0.2">
      <c r="A119" s="12" t="s">
        <v>592</v>
      </c>
      <c r="B119" s="69" t="s">
        <v>341</v>
      </c>
      <c r="C119" s="266">
        <f t="shared" si="46"/>
        <v>22094</v>
      </c>
      <c r="D119" s="266">
        <f t="shared" si="47"/>
        <v>21729</v>
      </c>
      <c r="E119" s="266">
        <f t="shared" si="47"/>
        <v>21350</v>
      </c>
      <c r="F119" s="266">
        <f t="shared" si="47"/>
        <v>20954</v>
      </c>
      <c r="G119" s="266">
        <f t="shared" si="47"/>
        <v>20543</v>
      </c>
      <c r="H119" s="266">
        <f t="shared" si="47"/>
        <v>20114</v>
      </c>
      <c r="I119" s="266">
        <f t="shared" si="47"/>
        <v>19669</v>
      </c>
      <c r="J119" s="266">
        <f t="shared" si="47"/>
        <v>19204</v>
      </c>
      <c r="K119" s="266">
        <f t="shared" si="47"/>
        <v>18720</v>
      </c>
      <c r="L119" s="266">
        <f t="shared" si="47"/>
        <v>18217</v>
      </c>
      <c r="M119" s="266">
        <f t="shared" si="47"/>
        <v>17692</v>
      </c>
      <c r="N119" s="266">
        <f t="shared" si="47"/>
        <v>17146</v>
      </c>
      <c r="O119" s="266">
        <f t="shared" si="47"/>
        <v>16577</v>
      </c>
      <c r="P119" s="266">
        <f t="shared" si="47"/>
        <v>15985</v>
      </c>
      <c r="Q119" s="266">
        <f t="shared" si="47"/>
        <v>15369</v>
      </c>
      <c r="R119" s="266">
        <f t="shared" si="47"/>
        <v>14727</v>
      </c>
      <c r="S119" s="266">
        <f t="shared" si="47"/>
        <v>14059</v>
      </c>
      <c r="T119" s="266">
        <f t="shared" si="47"/>
        <v>13363</v>
      </c>
      <c r="U119" s="266">
        <f t="shared" si="47"/>
        <v>12638</v>
      </c>
      <c r="V119" s="266">
        <f t="shared" si="47"/>
        <v>11883</v>
      </c>
      <c r="W119" s="266">
        <f t="shared" si="47"/>
        <v>11098</v>
      </c>
      <c r="X119" s="266">
        <f t="shared" si="47"/>
        <v>10280</v>
      </c>
      <c r="Y119" s="266">
        <f t="shared" si="47"/>
        <v>9428</v>
      </c>
      <c r="Z119" s="266">
        <f t="shared" si="47"/>
        <v>8540</v>
      </c>
      <c r="AA119" s="266">
        <f t="shared" si="47"/>
        <v>7617</v>
      </c>
      <c r="AB119" s="266">
        <f t="shared" si="47"/>
        <v>6655</v>
      </c>
      <c r="AC119" s="266">
        <f t="shared" si="47"/>
        <v>5654</v>
      </c>
      <c r="AD119" s="266">
        <f t="shared" si="47"/>
        <v>4612</v>
      </c>
      <c r="AE119" s="266">
        <f t="shared" si="47"/>
        <v>3526</v>
      </c>
      <c r="AF119" s="266">
        <f t="shared" si="47"/>
        <v>2395</v>
      </c>
      <c r="AG119" s="266">
        <f t="shared" si="47"/>
        <v>1218</v>
      </c>
      <c r="AH119" s="266">
        <f t="shared" si="47"/>
        <v>0</v>
      </c>
      <c r="AI119" s="266">
        <f t="shared" si="47"/>
        <v>0</v>
      </c>
    </row>
    <row r="120" spans="1:35" x14ac:dyDescent="0.2">
      <c r="A120" s="12" t="s">
        <v>593</v>
      </c>
      <c r="B120" s="13" t="s">
        <v>42</v>
      </c>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row>
    <row r="121" spans="1:35" x14ac:dyDescent="0.2">
      <c r="A121" s="12" t="s">
        <v>594</v>
      </c>
      <c r="B121" s="13" t="s">
        <v>44</v>
      </c>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row>
    <row r="122" spans="1:35" x14ac:dyDescent="0.2">
      <c r="A122" s="12" t="s">
        <v>889</v>
      </c>
      <c r="B122" s="13" t="s">
        <v>932</v>
      </c>
      <c r="C122" s="40">
        <v>49100</v>
      </c>
      <c r="D122" s="40">
        <v>47300</v>
      </c>
      <c r="E122" s="40">
        <v>45500</v>
      </c>
      <c r="F122" s="40">
        <v>43550</v>
      </c>
      <c r="G122" s="40">
        <v>41600</v>
      </c>
      <c r="H122" s="40">
        <v>39500</v>
      </c>
      <c r="I122" s="40">
        <v>37400</v>
      </c>
      <c r="J122" s="40">
        <v>35150</v>
      </c>
      <c r="K122" s="40">
        <v>32338</v>
      </c>
      <c r="L122" s="40">
        <v>29338</v>
      </c>
      <c r="M122" s="40">
        <v>26338</v>
      </c>
      <c r="N122" s="40">
        <v>23150</v>
      </c>
      <c r="O122" s="40">
        <v>19775</v>
      </c>
      <c r="P122" s="40">
        <v>16400</v>
      </c>
      <c r="Q122" s="40">
        <v>12600</v>
      </c>
      <c r="R122" s="40">
        <v>8600</v>
      </c>
      <c r="S122" s="40">
        <v>4400</v>
      </c>
      <c r="T122" s="40"/>
      <c r="U122" s="40"/>
      <c r="V122" s="40"/>
      <c r="W122" s="40"/>
      <c r="X122" s="40"/>
      <c r="Y122" s="40"/>
      <c r="Z122" s="40"/>
      <c r="AA122" s="40"/>
      <c r="AB122" s="40"/>
      <c r="AC122" s="40"/>
      <c r="AD122" s="40"/>
      <c r="AE122" s="40"/>
      <c r="AF122" s="40"/>
      <c r="AG122" s="40"/>
      <c r="AH122" s="40"/>
      <c r="AI122" s="40"/>
    </row>
    <row r="123" spans="1:35" x14ac:dyDescent="0.2">
      <c r="A123" s="12" t="s">
        <v>1017</v>
      </c>
      <c r="B123" s="13" t="s">
        <v>1015</v>
      </c>
      <c r="C123" s="470">
        <f>21136.47+19510.69</f>
        <v>40647.160000000003</v>
      </c>
      <c r="D123" s="470">
        <v>26385</v>
      </c>
      <c r="E123" s="470">
        <v>30381</v>
      </c>
      <c r="F123" s="470">
        <v>29072</v>
      </c>
      <c r="G123" s="470">
        <v>27735</v>
      </c>
      <c r="H123" s="470">
        <v>26369</v>
      </c>
      <c r="I123" s="470">
        <v>24973</v>
      </c>
      <c r="J123" s="470">
        <v>23547</v>
      </c>
      <c r="K123" s="470">
        <v>22090</v>
      </c>
      <c r="L123" s="470">
        <v>20601</v>
      </c>
      <c r="M123" s="470">
        <v>19080</v>
      </c>
      <c r="N123" s="470">
        <v>17526</v>
      </c>
      <c r="O123" s="470">
        <v>15938</v>
      </c>
      <c r="P123" s="470">
        <v>14316</v>
      </c>
      <c r="Q123" s="470">
        <v>12658</v>
      </c>
      <c r="R123" s="470">
        <v>10964</v>
      </c>
      <c r="S123" s="470">
        <v>9234</v>
      </c>
      <c r="T123" s="470">
        <v>7465.32</v>
      </c>
      <c r="U123" s="470">
        <v>5659</v>
      </c>
      <c r="V123" s="470">
        <v>2193</v>
      </c>
      <c r="W123" s="470">
        <v>1806.94</v>
      </c>
      <c r="X123" s="40"/>
      <c r="Y123" s="40"/>
      <c r="Z123" s="40"/>
      <c r="AA123" s="40"/>
      <c r="AB123" s="40"/>
      <c r="AC123" s="40"/>
      <c r="AD123" s="40"/>
      <c r="AE123" s="40"/>
      <c r="AF123" s="40"/>
      <c r="AG123" s="40"/>
      <c r="AH123" s="40"/>
      <c r="AI123" s="40"/>
    </row>
    <row r="124" spans="1:35" x14ac:dyDescent="0.2">
      <c r="A124" s="12" t="s">
        <v>1018</v>
      </c>
      <c r="B124" s="13" t="s">
        <v>1016</v>
      </c>
      <c r="C124" s="470">
        <f>1463.29+1463.29+10730.82</f>
        <v>13657.4</v>
      </c>
      <c r="D124" s="470">
        <f>8707+2375</f>
        <v>11082</v>
      </c>
      <c r="E124" s="470">
        <v>2279</v>
      </c>
      <c r="F124" s="470">
        <v>2181</v>
      </c>
      <c r="G124" s="470">
        <v>2081</v>
      </c>
      <c r="H124" s="470">
        <v>1978</v>
      </c>
      <c r="I124" s="470">
        <v>1873</v>
      </c>
      <c r="J124" s="470">
        <v>1766</v>
      </c>
      <c r="K124" s="470">
        <v>1657</v>
      </c>
      <c r="L124" s="470">
        <v>1546</v>
      </c>
      <c r="M124" s="470">
        <v>1431</v>
      </c>
      <c r="N124" s="470">
        <v>1315</v>
      </c>
      <c r="O124" s="470">
        <v>1196</v>
      </c>
      <c r="P124" s="470">
        <v>1074</v>
      </c>
      <c r="Q124" s="470">
        <v>950</v>
      </c>
      <c r="R124" s="650">
        <v>823</v>
      </c>
      <c r="S124" s="470">
        <v>693</v>
      </c>
      <c r="T124" s="470">
        <v>560</v>
      </c>
      <c r="U124" s="470">
        <v>425</v>
      </c>
      <c r="V124" s="470">
        <v>286</v>
      </c>
      <c r="W124" s="470">
        <v>145</v>
      </c>
      <c r="X124" s="40"/>
      <c r="Y124" s="40"/>
      <c r="Z124" s="40"/>
      <c r="AA124" s="40"/>
      <c r="AB124" s="40"/>
      <c r="AC124" s="40"/>
      <c r="AD124" s="40"/>
      <c r="AE124" s="40"/>
      <c r="AF124" s="40"/>
      <c r="AG124" s="40"/>
      <c r="AH124" s="40"/>
      <c r="AI124" s="40"/>
    </row>
    <row r="125" spans="1:35" x14ac:dyDescent="0.2">
      <c r="A125" s="12" t="s">
        <v>1093</v>
      </c>
      <c r="B125" s="13" t="s">
        <v>1034</v>
      </c>
      <c r="C125" s="470"/>
      <c r="D125" s="135"/>
      <c r="E125" s="135"/>
      <c r="F125" s="135"/>
      <c r="G125" s="135"/>
      <c r="H125" s="135"/>
      <c r="I125" s="135"/>
      <c r="J125" s="135"/>
      <c r="K125" s="135"/>
      <c r="L125" s="135"/>
      <c r="M125" s="135"/>
      <c r="N125" s="135"/>
      <c r="O125" s="135"/>
      <c r="P125" s="135"/>
      <c r="Q125" s="135"/>
      <c r="R125" s="135"/>
      <c r="S125" s="135"/>
      <c r="T125" s="135"/>
      <c r="U125" s="135"/>
      <c r="V125" s="135"/>
      <c r="W125" s="40"/>
      <c r="X125" s="40"/>
      <c r="Y125" s="40"/>
      <c r="Z125" s="40"/>
      <c r="AA125" s="40"/>
      <c r="AB125" s="40"/>
      <c r="AC125" s="40"/>
      <c r="AD125" s="40"/>
      <c r="AE125" s="40"/>
      <c r="AF125" s="40"/>
      <c r="AG125" s="40"/>
      <c r="AH125" s="40"/>
      <c r="AI125" s="40"/>
    </row>
    <row r="126" spans="1:35" x14ac:dyDescent="0.2">
      <c r="A126" s="12" t="s">
        <v>1094</v>
      </c>
      <c r="B126" s="13" t="s">
        <v>1035</v>
      </c>
      <c r="C126" s="470"/>
      <c r="D126" s="135"/>
      <c r="E126" s="135"/>
      <c r="F126" s="135"/>
      <c r="G126" s="135"/>
      <c r="H126" s="135"/>
      <c r="I126" s="135"/>
      <c r="J126" s="135"/>
      <c r="K126" s="135"/>
      <c r="L126" s="135"/>
      <c r="M126" s="135"/>
      <c r="N126" s="135"/>
      <c r="O126" s="135"/>
      <c r="P126" s="135"/>
      <c r="Q126" s="135"/>
      <c r="R126" s="135"/>
      <c r="S126" s="135"/>
      <c r="T126" s="135"/>
      <c r="U126" s="135"/>
      <c r="V126" s="135"/>
      <c r="W126" s="40"/>
      <c r="X126" s="40"/>
      <c r="Y126" s="40"/>
      <c r="Z126" s="40"/>
      <c r="AA126" s="40"/>
      <c r="AB126" s="40"/>
      <c r="AC126" s="40"/>
      <c r="AD126" s="40"/>
      <c r="AE126" s="40"/>
      <c r="AF126" s="40"/>
      <c r="AG126" s="40"/>
      <c r="AH126" s="40"/>
      <c r="AI126" s="40"/>
    </row>
    <row r="127" spans="1:35" x14ac:dyDescent="0.2">
      <c r="A127" s="12" t="s">
        <v>1097</v>
      </c>
      <c r="B127" s="13" t="s">
        <v>1092</v>
      </c>
      <c r="C127" s="470"/>
      <c r="D127" s="135"/>
      <c r="E127" s="135"/>
      <c r="F127" s="135"/>
      <c r="G127" s="135"/>
      <c r="H127" s="135"/>
      <c r="I127" s="135"/>
      <c r="J127" s="135"/>
      <c r="K127" s="135"/>
      <c r="L127" s="135"/>
      <c r="M127" s="135"/>
      <c r="N127" s="135"/>
      <c r="O127" s="135"/>
      <c r="P127" s="135"/>
      <c r="Q127" s="135"/>
      <c r="R127" s="135"/>
      <c r="S127" s="135"/>
      <c r="T127" s="135"/>
      <c r="U127" s="135"/>
      <c r="V127" s="135"/>
      <c r="W127" s="40"/>
      <c r="X127" s="40"/>
      <c r="Y127" s="40"/>
      <c r="Z127" s="40"/>
      <c r="AA127" s="40"/>
      <c r="AB127" s="40"/>
      <c r="AC127" s="40"/>
      <c r="AD127" s="40"/>
      <c r="AE127" s="40"/>
      <c r="AF127" s="40"/>
      <c r="AG127" s="40"/>
      <c r="AH127" s="40"/>
      <c r="AI127" s="40"/>
    </row>
    <row r="128" spans="1:35" x14ac:dyDescent="0.2">
      <c r="A128" s="12" t="s">
        <v>1098</v>
      </c>
      <c r="B128" s="13" t="s">
        <v>1095</v>
      </c>
      <c r="C128" s="470"/>
      <c r="D128" s="135"/>
      <c r="E128" s="135"/>
      <c r="F128" s="135"/>
      <c r="G128" s="135"/>
      <c r="H128" s="135"/>
      <c r="I128" s="135"/>
      <c r="J128" s="135"/>
      <c r="K128" s="135"/>
      <c r="L128" s="135"/>
      <c r="M128" s="135"/>
      <c r="N128" s="135"/>
      <c r="O128" s="135"/>
      <c r="P128" s="135"/>
      <c r="Q128" s="135"/>
      <c r="R128" s="135"/>
      <c r="S128" s="135"/>
      <c r="T128" s="135"/>
      <c r="U128" s="135"/>
      <c r="V128" s="135"/>
      <c r="W128" s="40"/>
      <c r="X128" s="40"/>
      <c r="Y128" s="40"/>
      <c r="Z128" s="40"/>
      <c r="AA128" s="40"/>
      <c r="AB128" s="40"/>
      <c r="AC128" s="40"/>
      <c r="AD128" s="40"/>
      <c r="AE128" s="40"/>
      <c r="AF128" s="40"/>
      <c r="AG128" s="40"/>
      <c r="AH128" s="40"/>
      <c r="AI128" s="40"/>
    </row>
    <row r="129" spans="1:35" x14ac:dyDescent="0.2">
      <c r="A129" s="12"/>
      <c r="B129" s="13"/>
      <c r="C129" s="470"/>
      <c r="D129" s="135"/>
      <c r="E129" s="135"/>
      <c r="F129" s="135"/>
      <c r="G129" s="135"/>
      <c r="H129" s="135"/>
      <c r="I129" s="135"/>
      <c r="J129" s="135"/>
      <c r="K129" s="135"/>
      <c r="L129" s="135"/>
      <c r="M129" s="135"/>
      <c r="N129" s="135"/>
      <c r="O129" s="135"/>
      <c r="P129" s="135"/>
      <c r="Q129" s="135"/>
      <c r="R129" s="135"/>
      <c r="S129" s="135"/>
      <c r="T129" s="135"/>
      <c r="U129" s="135"/>
      <c r="V129" s="135"/>
      <c r="W129" s="40"/>
      <c r="X129" s="40"/>
      <c r="Y129" s="40"/>
      <c r="Z129" s="40"/>
      <c r="AA129" s="40"/>
      <c r="AB129" s="40"/>
      <c r="AC129" s="40"/>
      <c r="AD129" s="40"/>
      <c r="AE129" s="40"/>
      <c r="AF129" s="40"/>
      <c r="AG129" s="40"/>
      <c r="AH129" s="40"/>
      <c r="AI129" s="40"/>
    </row>
    <row r="130" spans="1:35" ht="13.5" thickBot="1" x14ac:dyDescent="0.25">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row>
    <row r="131" spans="1:35" x14ac:dyDescent="0.2">
      <c r="B131" s="161" t="s">
        <v>1114</v>
      </c>
      <c r="C131" s="20">
        <f>SUM(C108:C130)</f>
        <v>192265.56</v>
      </c>
      <c r="D131" s="20">
        <f>SUM(D92:D130)</f>
        <v>430137</v>
      </c>
      <c r="E131" s="20">
        <f t="shared" ref="E131:AI131" si="49">SUM(E92:E130)</f>
        <v>422563</v>
      </c>
      <c r="F131" s="20">
        <f t="shared" si="49"/>
        <v>413667</v>
      </c>
      <c r="G131" s="20">
        <f t="shared" si="49"/>
        <v>409146</v>
      </c>
      <c r="H131" s="20">
        <f t="shared" si="49"/>
        <v>400060</v>
      </c>
      <c r="I131" s="20">
        <f t="shared" si="49"/>
        <v>376221</v>
      </c>
      <c r="J131" s="20">
        <f t="shared" si="49"/>
        <v>373420</v>
      </c>
      <c r="K131" s="20">
        <f t="shared" si="49"/>
        <v>375176</v>
      </c>
      <c r="L131" s="20">
        <f t="shared" si="49"/>
        <v>371922</v>
      </c>
      <c r="M131" s="20">
        <f t="shared" si="49"/>
        <v>328500</v>
      </c>
      <c r="N131" s="20">
        <f t="shared" si="49"/>
        <v>330269</v>
      </c>
      <c r="O131" s="20">
        <f t="shared" si="49"/>
        <v>253847</v>
      </c>
      <c r="P131" s="20">
        <f t="shared" si="49"/>
        <v>328425</v>
      </c>
      <c r="Q131" s="20">
        <f t="shared" si="49"/>
        <v>329577</v>
      </c>
      <c r="R131" s="20">
        <f t="shared" si="49"/>
        <v>330528</v>
      </c>
      <c r="S131" s="20">
        <f t="shared" si="49"/>
        <v>331275</v>
      </c>
      <c r="T131" s="20">
        <f t="shared" si="49"/>
        <v>216822.32</v>
      </c>
      <c r="U131" s="20">
        <f t="shared" si="49"/>
        <v>216769</v>
      </c>
      <c r="V131" s="20">
        <f t="shared" si="49"/>
        <v>215093</v>
      </c>
      <c r="W131" s="20">
        <f t="shared" si="49"/>
        <v>216536.94</v>
      </c>
      <c r="X131" s="20">
        <f t="shared" si="49"/>
        <v>64386</v>
      </c>
      <c r="Y131" s="20">
        <f t="shared" si="49"/>
        <v>64386</v>
      </c>
      <c r="Z131" s="20">
        <f t="shared" si="49"/>
        <v>64385</v>
      </c>
      <c r="AA131" s="20">
        <f t="shared" si="49"/>
        <v>64386</v>
      </c>
      <c r="AB131" s="20">
        <f t="shared" si="49"/>
        <v>64385</v>
      </c>
      <c r="AC131" s="20">
        <f t="shared" si="49"/>
        <v>64386</v>
      </c>
      <c r="AD131" s="20">
        <f t="shared" si="49"/>
        <v>64386</v>
      </c>
      <c r="AE131" s="20">
        <f t="shared" si="49"/>
        <v>64282</v>
      </c>
      <c r="AF131" s="20">
        <f t="shared" si="49"/>
        <v>30930</v>
      </c>
      <c r="AG131" s="20">
        <f t="shared" si="49"/>
        <v>30746</v>
      </c>
      <c r="AH131" s="20">
        <f t="shared" si="49"/>
        <v>0</v>
      </c>
      <c r="AI131" s="20">
        <f t="shared" si="49"/>
        <v>0</v>
      </c>
    </row>
    <row r="132" spans="1:35" x14ac:dyDescent="0.2">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row>
    <row r="133" spans="1:35" ht="13.5" thickBot="1" x14ac:dyDescent="0.25">
      <c r="A133" s="614" t="s">
        <v>1107</v>
      </c>
      <c r="B133" s="615"/>
      <c r="C133" s="616"/>
      <c r="D133" s="616"/>
      <c r="E133" s="616"/>
      <c r="F133" s="616"/>
      <c r="G133" s="616"/>
      <c r="H133" s="616"/>
      <c r="I133" s="616"/>
      <c r="J133" s="616"/>
      <c r="K133" s="616"/>
      <c r="L133" s="616"/>
      <c r="M133" s="616"/>
      <c r="N133" s="616"/>
      <c r="O133" s="616"/>
      <c r="P133" s="616"/>
      <c r="Q133" s="616"/>
      <c r="R133" s="616"/>
      <c r="S133" s="616"/>
      <c r="T133" s="616"/>
      <c r="U133" s="616"/>
      <c r="V133" s="616"/>
      <c r="W133" s="616"/>
      <c r="X133" s="616"/>
      <c r="Y133" s="616"/>
      <c r="Z133" s="616"/>
      <c r="AA133" s="616"/>
      <c r="AB133" s="616"/>
      <c r="AC133" s="616"/>
      <c r="AD133" s="616"/>
      <c r="AE133" s="616"/>
      <c r="AF133" s="616"/>
      <c r="AG133" s="616"/>
      <c r="AH133" s="616"/>
      <c r="AI133" s="616"/>
    </row>
    <row r="134" spans="1:35" ht="13.5" thickTop="1" x14ac:dyDescent="0.2">
      <c r="A134" s="617"/>
      <c r="B134" s="618"/>
      <c r="C134" s="619"/>
      <c r="D134" s="619"/>
      <c r="E134" s="619"/>
      <c r="F134" s="619"/>
      <c r="G134" s="619"/>
      <c r="H134" s="619"/>
      <c r="I134" s="619"/>
      <c r="J134" s="619"/>
      <c r="K134" s="619"/>
      <c r="L134" s="619"/>
      <c r="M134" s="619"/>
      <c r="N134" s="619"/>
      <c r="O134" s="619"/>
      <c r="P134" s="619"/>
      <c r="Q134" s="619"/>
      <c r="R134" s="619"/>
      <c r="S134" s="619"/>
      <c r="T134" s="619"/>
      <c r="U134" s="619"/>
      <c r="V134" s="619"/>
      <c r="W134" s="619"/>
      <c r="X134" s="619"/>
      <c r="Y134" s="619"/>
      <c r="Z134" s="619"/>
      <c r="AA134" s="619"/>
      <c r="AB134" s="619"/>
      <c r="AC134" s="619"/>
      <c r="AD134" s="619"/>
      <c r="AE134" s="619"/>
      <c r="AF134" s="619"/>
      <c r="AG134" s="619"/>
      <c r="AH134" s="619"/>
      <c r="AI134" s="619"/>
    </row>
    <row r="135" spans="1:35" x14ac:dyDescent="0.2">
      <c r="A135" s="620">
        <v>710</v>
      </c>
      <c r="B135" s="621" t="s">
        <v>223</v>
      </c>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row>
    <row r="136" spans="1:35" x14ac:dyDescent="0.2">
      <c r="A136" s="620">
        <v>5930</v>
      </c>
      <c r="B136" s="623" t="s">
        <v>36</v>
      </c>
      <c r="C136" s="622">
        <v>48115</v>
      </c>
      <c r="D136" s="622">
        <v>49087</v>
      </c>
      <c r="E136" s="622">
        <v>50079</v>
      </c>
      <c r="F136" s="622">
        <v>51901</v>
      </c>
      <c r="G136" s="622">
        <v>52123</v>
      </c>
      <c r="H136" s="622">
        <v>53176</v>
      </c>
      <c r="I136" s="622">
        <v>54250</v>
      </c>
      <c r="J136" s="622">
        <v>55346</v>
      </c>
      <c r="K136" s="622">
        <v>56464</v>
      </c>
      <c r="L136" s="622">
        <v>57605</v>
      </c>
      <c r="M136" s="626"/>
      <c r="N136" s="626"/>
      <c r="O136" s="626"/>
      <c r="P136" s="626"/>
      <c r="Q136" s="626"/>
      <c r="R136" s="626"/>
      <c r="S136" s="626"/>
      <c r="T136" s="626"/>
      <c r="U136" s="626"/>
      <c r="V136" s="626"/>
      <c r="W136" s="626"/>
      <c r="X136" s="626"/>
      <c r="Y136" s="626"/>
      <c r="Z136" s="626"/>
      <c r="AA136" s="626"/>
      <c r="AB136" s="626"/>
      <c r="AC136" s="626"/>
      <c r="AD136" s="626"/>
      <c r="AE136" s="626"/>
      <c r="AF136" s="626"/>
      <c r="AG136" s="626"/>
      <c r="AH136" s="622"/>
      <c r="AI136" s="622"/>
    </row>
    <row r="137" spans="1:35" x14ac:dyDescent="0.2">
      <c r="A137" s="620">
        <v>5931</v>
      </c>
      <c r="B137" s="624" t="s">
        <v>37</v>
      </c>
      <c r="C137" s="622">
        <v>54679</v>
      </c>
      <c r="D137" s="622">
        <v>56016</v>
      </c>
      <c r="E137" s="622">
        <v>57384</v>
      </c>
      <c r="F137" s="622">
        <v>58786</v>
      </c>
      <c r="G137" s="622">
        <v>60223</v>
      </c>
      <c r="H137" s="622">
        <v>61694</v>
      </c>
      <c r="I137" s="622">
        <v>63202</v>
      </c>
      <c r="J137" s="622">
        <v>64746</v>
      </c>
      <c r="K137" s="622">
        <v>66328</v>
      </c>
      <c r="L137" s="622">
        <v>67949</v>
      </c>
      <c r="M137" s="622">
        <v>69609</v>
      </c>
      <c r="N137" s="622">
        <v>71310</v>
      </c>
      <c r="O137" s="622">
        <v>73053</v>
      </c>
      <c r="P137" s="622">
        <v>74838</v>
      </c>
      <c r="Q137" s="622">
        <v>76667</v>
      </c>
      <c r="R137" s="622">
        <v>78540</v>
      </c>
      <c r="S137" s="622">
        <v>80459</v>
      </c>
      <c r="T137" s="622">
        <v>82425</v>
      </c>
      <c r="U137" s="622">
        <v>84439</v>
      </c>
      <c r="V137" s="622">
        <v>86502</v>
      </c>
      <c r="W137" s="622">
        <v>88616</v>
      </c>
      <c r="X137" s="626"/>
      <c r="Y137" s="626"/>
      <c r="Z137" s="626"/>
      <c r="AA137" s="626"/>
      <c r="AB137" s="626"/>
      <c r="AC137" s="626"/>
      <c r="AD137" s="626"/>
      <c r="AE137" s="626"/>
      <c r="AF137" s="626"/>
      <c r="AG137" s="626"/>
      <c r="AH137" s="622"/>
      <c r="AI137" s="622"/>
    </row>
    <row r="138" spans="1:35" x14ac:dyDescent="0.2">
      <c r="A138" s="620">
        <v>5932</v>
      </c>
      <c r="B138" s="624" t="s">
        <v>38</v>
      </c>
      <c r="C138" s="622">
        <v>16109</v>
      </c>
      <c r="D138" s="622">
        <v>16814</v>
      </c>
      <c r="E138" s="622">
        <v>17550</v>
      </c>
      <c r="F138" s="622">
        <v>18317</v>
      </c>
      <c r="G138" s="622">
        <v>19118</v>
      </c>
      <c r="H138" s="622">
        <v>19955</v>
      </c>
      <c r="I138" s="622">
        <v>20828</v>
      </c>
      <c r="J138" s="622">
        <v>21739</v>
      </c>
      <c r="K138" s="622">
        <v>22690</v>
      </c>
      <c r="L138" s="622">
        <v>23683</v>
      </c>
      <c r="M138" s="622">
        <v>24719</v>
      </c>
      <c r="N138" s="622">
        <v>25801</v>
      </c>
      <c r="O138" s="622">
        <v>26929</v>
      </c>
      <c r="P138" s="622">
        <v>28107</v>
      </c>
      <c r="Q138" s="622">
        <v>29337</v>
      </c>
      <c r="R138" s="622">
        <v>30621</v>
      </c>
      <c r="S138" s="622">
        <v>31960</v>
      </c>
      <c r="T138" s="622">
        <v>33359</v>
      </c>
      <c r="U138" s="622">
        <v>34818</v>
      </c>
      <c r="V138" s="622">
        <v>36341</v>
      </c>
      <c r="W138" s="622">
        <v>37931</v>
      </c>
      <c r="X138" s="622">
        <v>39591</v>
      </c>
      <c r="Y138" s="622">
        <v>41323</v>
      </c>
      <c r="Z138" s="622">
        <v>43130</v>
      </c>
      <c r="AA138" s="622">
        <v>45017</v>
      </c>
      <c r="AB138" s="622">
        <v>46987</v>
      </c>
      <c r="AC138" s="622">
        <v>49043</v>
      </c>
      <c r="AD138" s="622">
        <v>51188</v>
      </c>
      <c r="AE138" s="622">
        <v>53255</v>
      </c>
      <c r="AF138" s="626"/>
      <c r="AG138" s="626"/>
      <c r="AH138" s="622"/>
      <c r="AI138" s="622"/>
    </row>
    <row r="139" spans="1:35" ht="13.5" thickBot="1" x14ac:dyDescent="0.25">
      <c r="A139" s="620">
        <v>5933</v>
      </c>
      <c r="B139" s="624" t="s">
        <v>341</v>
      </c>
      <c r="C139" s="625">
        <v>14728</v>
      </c>
      <c r="D139" s="625">
        <v>15336</v>
      </c>
      <c r="E139" s="625">
        <v>15968</v>
      </c>
      <c r="F139" s="625">
        <v>16627</v>
      </c>
      <c r="G139" s="625">
        <v>17313</v>
      </c>
      <c r="H139" s="625">
        <v>18027</v>
      </c>
      <c r="I139" s="625">
        <v>18770</v>
      </c>
      <c r="J139" s="625">
        <v>19545</v>
      </c>
      <c r="K139" s="625">
        <v>20351</v>
      </c>
      <c r="L139" s="625">
        <v>21190</v>
      </c>
      <c r="M139" s="625">
        <v>22064</v>
      </c>
      <c r="N139" s="625">
        <v>22974</v>
      </c>
      <c r="O139" s="625">
        <v>23922</v>
      </c>
      <c r="P139" s="625">
        <v>24909</v>
      </c>
      <c r="Q139" s="625">
        <v>25936</v>
      </c>
      <c r="R139" s="625">
        <v>27006</v>
      </c>
      <c r="S139" s="625">
        <v>28120</v>
      </c>
      <c r="T139" s="625">
        <v>29280</v>
      </c>
      <c r="U139" s="625">
        <v>30488</v>
      </c>
      <c r="V139" s="625">
        <v>31746</v>
      </c>
      <c r="W139" s="625">
        <v>33055</v>
      </c>
      <c r="X139" s="625">
        <v>34418</v>
      </c>
      <c r="Y139" s="625">
        <v>35838</v>
      </c>
      <c r="Z139" s="625">
        <v>37317</v>
      </c>
      <c r="AA139" s="625">
        <v>38856</v>
      </c>
      <c r="AB139" s="625">
        <v>40459</v>
      </c>
      <c r="AC139" s="625">
        <v>42128</v>
      </c>
      <c r="AD139" s="625">
        <v>43865</v>
      </c>
      <c r="AE139" s="625">
        <v>45675</v>
      </c>
      <c r="AF139" s="625">
        <v>47559</v>
      </c>
      <c r="AG139" s="625">
        <v>49213</v>
      </c>
      <c r="AH139" s="625"/>
      <c r="AI139" s="625"/>
    </row>
    <row r="140" spans="1:35" x14ac:dyDescent="0.2">
      <c r="A140" s="620"/>
      <c r="B140" s="621"/>
      <c r="C140" s="626"/>
      <c r="D140" s="626"/>
      <c r="E140" s="626"/>
      <c r="F140" s="626"/>
      <c r="G140" s="626"/>
      <c r="H140" s="626"/>
      <c r="I140" s="626"/>
      <c r="J140" s="626"/>
      <c r="K140" s="626"/>
      <c r="L140" s="626"/>
      <c r="M140" s="626"/>
      <c r="N140" s="626"/>
      <c r="O140" s="626"/>
      <c r="P140" s="626"/>
      <c r="Q140" s="626"/>
      <c r="R140" s="626"/>
      <c r="S140" s="626"/>
      <c r="T140" s="626"/>
      <c r="U140" s="626"/>
      <c r="V140" s="626"/>
      <c r="W140" s="626"/>
      <c r="X140" s="626"/>
      <c r="Y140" s="626"/>
      <c r="Z140" s="626"/>
      <c r="AA140" s="626"/>
      <c r="AB140" s="626"/>
      <c r="AC140" s="626"/>
      <c r="AD140" s="626"/>
      <c r="AE140" s="626"/>
      <c r="AF140" s="626"/>
      <c r="AG140" s="626"/>
      <c r="AH140" s="626"/>
      <c r="AI140" s="626"/>
    </row>
    <row r="141" spans="1:35" x14ac:dyDescent="0.2">
      <c r="A141" s="620">
        <v>751</v>
      </c>
      <c r="B141" s="621" t="s">
        <v>224</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row>
    <row r="142" spans="1:35" x14ac:dyDescent="0.2">
      <c r="A142" s="620">
        <v>5930</v>
      </c>
      <c r="B142" s="624" t="s">
        <v>36</v>
      </c>
      <c r="C142" s="622">
        <v>10666</v>
      </c>
      <c r="D142" s="622">
        <v>9094</v>
      </c>
      <c r="E142" s="622">
        <v>8102</v>
      </c>
      <c r="F142" s="622">
        <v>7091</v>
      </c>
      <c r="G142" s="622">
        <v>6059</v>
      </c>
      <c r="H142" s="622">
        <v>5006</v>
      </c>
      <c r="I142" s="622">
        <v>3931</v>
      </c>
      <c r="J142" s="622">
        <v>2835</v>
      </c>
      <c r="K142" s="622">
        <v>1717</v>
      </c>
      <c r="L142" s="622">
        <v>577</v>
      </c>
      <c r="M142" s="626"/>
      <c r="N142" s="626"/>
      <c r="O142" s="626"/>
      <c r="P142" s="626"/>
      <c r="Q142" s="626"/>
      <c r="R142" s="626"/>
      <c r="S142" s="626"/>
      <c r="T142" s="626"/>
      <c r="U142" s="626"/>
      <c r="V142" s="626"/>
      <c r="W142" s="626"/>
      <c r="X142" s="626"/>
      <c r="Y142" s="626"/>
      <c r="Z142" s="626"/>
      <c r="AA142" s="626"/>
      <c r="AB142" s="626"/>
      <c r="AC142" s="626"/>
      <c r="AD142" s="626"/>
      <c r="AE142" s="626"/>
      <c r="AF142" s="626"/>
      <c r="AG142" s="626"/>
      <c r="AH142" s="622"/>
      <c r="AI142" s="622"/>
    </row>
    <row r="143" spans="1:35" x14ac:dyDescent="0.2">
      <c r="A143" s="620" t="s">
        <v>599</v>
      </c>
      <c r="B143" s="624" t="s">
        <v>39</v>
      </c>
      <c r="C143" s="622">
        <v>755</v>
      </c>
      <c r="D143" s="626">
        <v>683</v>
      </c>
      <c r="E143" s="626">
        <v>608</v>
      </c>
      <c r="F143" s="626">
        <v>532</v>
      </c>
      <c r="G143" s="626">
        <v>455</v>
      </c>
      <c r="H143" s="626">
        <v>376</v>
      </c>
      <c r="I143" s="626">
        <v>295</v>
      </c>
      <c r="J143" s="626">
        <v>213</v>
      </c>
      <c r="K143" s="626">
        <v>129</v>
      </c>
      <c r="L143" s="626">
        <v>444</v>
      </c>
      <c r="M143" s="626"/>
      <c r="N143" s="626"/>
      <c r="O143" s="626"/>
      <c r="P143" s="626"/>
      <c r="Q143" s="626"/>
      <c r="R143" s="626"/>
      <c r="S143" s="626"/>
      <c r="T143" s="626"/>
      <c r="U143" s="626"/>
      <c r="V143" s="626"/>
      <c r="W143" s="626"/>
      <c r="X143" s="626"/>
      <c r="Y143" s="626"/>
      <c r="Z143" s="626"/>
      <c r="AA143" s="626"/>
      <c r="AB143" s="626"/>
      <c r="AC143" s="626"/>
      <c r="AD143" s="626"/>
      <c r="AE143" s="626"/>
      <c r="AF143" s="626"/>
      <c r="AG143" s="626"/>
      <c r="AH143" s="622"/>
      <c r="AI143" s="622"/>
    </row>
    <row r="144" spans="1:35" x14ac:dyDescent="0.2">
      <c r="A144" s="620">
        <v>5931</v>
      </c>
      <c r="B144" s="624" t="s">
        <v>37</v>
      </c>
      <c r="C144" s="622">
        <v>35135</v>
      </c>
      <c r="D144" s="622">
        <v>33670</v>
      </c>
      <c r="E144" s="622">
        <v>32302</v>
      </c>
      <c r="F144" s="622">
        <v>30900</v>
      </c>
      <c r="G144" s="622">
        <v>29463</v>
      </c>
      <c r="H144" s="622">
        <v>27992</v>
      </c>
      <c r="I144" s="622">
        <v>26484</v>
      </c>
      <c r="J144" s="622">
        <v>24940</v>
      </c>
      <c r="K144" s="622">
        <v>23358</v>
      </c>
      <c r="L144" s="622">
        <v>21737</v>
      </c>
      <c r="M144" s="622">
        <v>20077</v>
      </c>
      <c r="N144" s="622">
        <v>18376</v>
      </c>
      <c r="O144" s="622">
        <v>16633</v>
      </c>
      <c r="P144" s="622">
        <v>14848</v>
      </c>
      <c r="Q144" s="622">
        <v>13020</v>
      </c>
      <c r="R144" s="622">
        <v>11146</v>
      </c>
      <c r="S144" s="622">
        <v>9227</v>
      </c>
      <c r="T144" s="622">
        <v>7261</v>
      </c>
      <c r="U144" s="622">
        <v>5247</v>
      </c>
      <c r="V144" s="622">
        <v>3184</v>
      </c>
      <c r="W144" s="622">
        <v>1070</v>
      </c>
      <c r="X144" s="626"/>
      <c r="Y144" s="626"/>
      <c r="Z144" s="626"/>
      <c r="AA144" s="626"/>
      <c r="AB144" s="626"/>
      <c r="AC144" s="626"/>
      <c r="AD144" s="626"/>
      <c r="AE144" s="626"/>
      <c r="AF144" s="626"/>
      <c r="AG144" s="626"/>
      <c r="AH144" s="622"/>
      <c r="AI144" s="622"/>
    </row>
    <row r="145" spans="1:35" x14ac:dyDescent="0.2">
      <c r="A145" s="620" t="s">
        <v>600</v>
      </c>
      <c r="B145" s="624" t="s">
        <v>40</v>
      </c>
      <c r="C145" s="622">
        <v>2176</v>
      </c>
      <c r="D145" s="626">
        <v>2093</v>
      </c>
      <c r="E145" s="626">
        <v>2008</v>
      </c>
      <c r="F145" s="626">
        <v>1920</v>
      </c>
      <c r="G145" s="626">
        <v>1831</v>
      </c>
      <c r="H145" s="626">
        <v>1740</v>
      </c>
      <c r="I145" s="626">
        <v>1646</v>
      </c>
      <c r="J145" s="626">
        <v>1450</v>
      </c>
      <c r="K145" s="626">
        <v>1452</v>
      </c>
      <c r="L145" s="626">
        <v>1351</v>
      </c>
      <c r="M145" s="626">
        <v>1248</v>
      </c>
      <c r="N145" s="626">
        <v>1142</v>
      </c>
      <c r="O145" s="626">
        <v>1034</v>
      </c>
      <c r="P145" s="626">
        <v>923</v>
      </c>
      <c r="Q145" s="626">
        <v>809</v>
      </c>
      <c r="R145" s="626">
        <v>693</v>
      </c>
      <c r="S145" s="626">
        <v>574</v>
      </c>
      <c r="T145" s="626">
        <v>452</v>
      </c>
      <c r="U145" s="626">
        <v>327</v>
      </c>
      <c r="V145" s="626">
        <v>198</v>
      </c>
      <c r="W145" s="626">
        <v>67</v>
      </c>
      <c r="X145" s="626"/>
      <c r="Y145" s="626"/>
      <c r="Z145" s="626"/>
      <c r="AA145" s="626"/>
      <c r="AB145" s="626"/>
      <c r="AC145" s="626"/>
      <c r="AD145" s="626"/>
      <c r="AE145" s="626"/>
      <c r="AF145" s="626"/>
      <c r="AG145" s="626"/>
      <c r="AH145" s="622"/>
      <c r="AI145" s="622"/>
    </row>
    <row r="146" spans="1:35" x14ac:dyDescent="0.2">
      <c r="A146" s="620">
        <v>5932</v>
      </c>
      <c r="B146" s="624" t="s">
        <v>38</v>
      </c>
      <c r="C146" s="622">
        <v>39649</v>
      </c>
      <c r="D146" s="622">
        <v>38944</v>
      </c>
      <c r="E146" s="622">
        <v>38208</v>
      </c>
      <c r="F146" s="622">
        <v>37441</v>
      </c>
      <c r="G146" s="622">
        <v>36639</v>
      </c>
      <c r="H146" s="622">
        <v>35803</v>
      </c>
      <c r="I146" s="622">
        <v>34930</v>
      </c>
      <c r="J146" s="622">
        <v>34019</v>
      </c>
      <c r="K146" s="622">
        <v>33068</v>
      </c>
      <c r="L146" s="622">
        <v>32075</v>
      </c>
      <c r="M146" s="622">
        <v>31039</v>
      </c>
      <c r="N146" s="622">
        <v>29957</v>
      </c>
      <c r="O146" s="622">
        <v>28829</v>
      </c>
      <c r="P146" s="622">
        <v>27650</v>
      </c>
      <c r="Q146" s="622">
        <v>26421</v>
      </c>
      <c r="R146" s="622">
        <v>25137</v>
      </c>
      <c r="S146" s="622">
        <v>23798</v>
      </c>
      <c r="T146" s="622">
        <v>22399</v>
      </c>
      <c r="U146" s="622">
        <v>20940</v>
      </c>
      <c r="V146" s="622">
        <v>19417</v>
      </c>
      <c r="W146" s="622">
        <v>17827</v>
      </c>
      <c r="X146" s="622">
        <v>16167</v>
      </c>
      <c r="Y146" s="622">
        <v>14435</v>
      </c>
      <c r="Z146" s="622">
        <v>12628</v>
      </c>
      <c r="AA146" s="622">
        <v>10741</v>
      </c>
      <c r="AB146" s="622">
        <v>8771</v>
      </c>
      <c r="AC146" s="622">
        <v>6715</v>
      </c>
      <c r="AD146" s="622">
        <v>4570</v>
      </c>
      <c r="AE146" s="622">
        <v>2330</v>
      </c>
      <c r="AF146" s="626"/>
      <c r="AG146" s="626"/>
      <c r="AH146" s="622"/>
      <c r="AI146" s="622"/>
    </row>
    <row r="147" spans="1:35" ht="13.5" thickBot="1" x14ac:dyDescent="0.25">
      <c r="A147" s="620">
        <v>5933</v>
      </c>
      <c r="B147" s="624" t="s">
        <v>341</v>
      </c>
      <c r="C147" s="625">
        <v>36823</v>
      </c>
      <c r="D147" s="625">
        <v>36215</v>
      </c>
      <c r="E147" s="625">
        <v>35583</v>
      </c>
      <c r="F147" s="625">
        <v>34924</v>
      </c>
      <c r="G147" s="625">
        <v>34238</v>
      </c>
      <c r="H147" s="625">
        <v>33524</v>
      </c>
      <c r="I147" s="625">
        <v>32781</v>
      </c>
      <c r="J147" s="625">
        <v>32006</v>
      </c>
      <c r="K147" s="625">
        <v>31200</v>
      </c>
      <c r="L147" s="625">
        <v>30361</v>
      </c>
      <c r="M147" s="625">
        <v>29487</v>
      </c>
      <c r="N147" s="625">
        <v>28577</v>
      </c>
      <c r="O147" s="625">
        <v>27629</v>
      </c>
      <c r="P147" s="625">
        <v>26642</v>
      </c>
      <c r="Q147" s="625">
        <v>25615</v>
      </c>
      <c r="R147" s="625">
        <v>24545</v>
      </c>
      <c r="S147" s="625">
        <v>23431</v>
      </c>
      <c r="T147" s="625">
        <v>22271</v>
      </c>
      <c r="U147" s="625">
        <v>21063</v>
      </c>
      <c r="V147" s="625">
        <v>19805</v>
      </c>
      <c r="W147" s="625">
        <v>18496</v>
      </c>
      <c r="X147" s="625">
        <v>17133</v>
      </c>
      <c r="Y147" s="625">
        <v>15713</v>
      </c>
      <c r="Z147" s="625">
        <v>14234</v>
      </c>
      <c r="AA147" s="625">
        <v>12695</v>
      </c>
      <c r="AB147" s="625">
        <v>11092</v>
      </c>
      <c r="AC147" s="625">
        <v>9423</v>
      </c>
      <c r="AD147" s="625">
        <v>7686</v>
      </c>
      <c r="AE147" s="625">
        <v>5876</v>
      </c>
      <c r="AF147" s="625">
        <v>3992</v>
      </c>
      <c r="AG147" s="625">
        <v>2030</v>
      </c>
      <c r="AH147" s="625"/>
      <c r="AI147" s="625"/>
    </row>
    <row r="148" spans="1:35" x14ac:dyDescent="0.2">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row>
    <row r="149" spans="1:35" ht="13.5" thickBot="1" x14ac:dyDescent="0.25">
      <c r="A149" s="636" t="s">
        <v>1108</v>
      </c>
      <c r="B149" s="637"/>
      <c r="C149" s="431"/>
      <c r="D149" s="431"/>
      <c r="E149" s="431"/>
      <c r="F149" s="431"/>
      <c r="G149" s="431"/>
      <c r="H149" s="431"/>
      <c r="I149" s="431"/>
      <c r="J149" s="431"/>
      <c r="K149" s="431"/>
      <c r="L149" s="431"/>
      <c r="M149" s="431"/>
      <c r="N149" s="431"/>
      <c r="O149" s="431"/>
      <c r="P149" s="431"/>
      <c r="Q149" s="431"/>
      <c r="R149" s="431"/>
      <c r="S149" s="431"/>
      <c r="T149" s="431"/>
      <c r="U149" s="431"/>
      <c r="V149" s="431"/>
      <c r="W149" s="431"/>
      <c r="X149" s="431"/>
      <c r="Y149" s="431"/>
      <c r="Z149" s="431"/>
      <c r="AA149" s="431"/>
      <c r="AB149" s="431"/>
      <c r="AC149" s="431"/>
      <c r="AD149" s="431"/>
      <c r="AE149" s="431"/>
      <c r="AF149" s="431"/>
      <c r="AG149" s="431"/>
      <c r="AH149" s="431"/>
      <c r="AI149" s="431"/>
    </row>
    <row r="150" spans="1:35" ht="13.5" thickTop="1" x14ac:dyDescent="0.2">
      <c r="A150" s="638">
        <v>710</v>
      </c>
      <c r="B150" s="639" t="s">
        <v>223</v>
      </c>
      <c r="C150" s="430"/>
      <c r="D150" s="430"/>
      <c r="E150" s="430"/>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row>
    <row r="151" spans="1:35" x14ac:dyDescent="0.2">
      <c r="A151" s="638">
        <v>5930</v>
      </c>
      <c r="B151" s="640" t="s">
        <v>36</v>
      </c>
      <c r="C151" s="430">
        <f t="shared" ref="C151:AI151" si="50">ROUND((+C136*0.4),0)</f>
        <v>19246</v>
      </c>
      <c r="D151" s="430">
        <f t="shared" si="50"/>
        <v>19635</v>
      </c>
      <c r="E151" s="430">
        <f t="shared" si="50"/>
        <v>20032</v>
      </c>
      <c r="F151" s="430">
        <f t="shared" si="50"/>
        <v>20760</v>
      </c>
      <c r="G151" s="430">
        <f t="shared" si="50"/>
        <v>20849</v>
      </c>
      <c r="H151" s="430">
        <f t="shared" si="50"/>
        <v>21270</v>
      </c>
      <c r="I151" s="430">
        <f t="shared" si="50"/>
        <v>21700</v>
      </c>
      <c r="J151" s="430">
        <f t="shared" si="50"/>
        <v>22138</v>
      </c>
      <c r="K151" s="430">
        <f t="shared" si="50"/>
        <v>22586</v>
      </c>
      <c r="L151" s="430">
        <f t="shared" si="50"/>
        <v>23042</v>
      </c>
      <c r="M151" s="430">
        <f t="shared" si="50"/>
        <v>0</v>
      </c>
      <c r="N151" s="430">
        <f t="shared" si="50"/>
        <v>0</v>
      </c>
      <c r="O151" s="430">
        <f t="shared" si="50"/>
        <v>0</v>
      </c>
      <c r="P151" s="430">
        <f t="shared" si="50"/>
        <v>0</v>
      </c>
      <c r="Q151" s="430">
        <f t="shared" si="50"/>
        <v>0</v>
      </c>
      <c r="R151" s="430">
        <f t="shared" si="50"/>
        <v>0</v>
      </c>
      <c r="S151" s="430">
        <f t="shared" si="50"/>
        <v>0</v>
      </c>
      <c r="T151" s="430">
        <f t="shared" si="50"/>
        <v>0</v>
      </c>
      <c r="U151" s="430">
        <f t="shared" si="50"/>
        <v>0</v>
      </c>
      <c r="V151" s="430">
        <f t="shared" si="50"/>
        <v>0</v>
      </c>
      <c r="W151" s="430">
        <f t="shared" si="50"/>
        <v>0</v>
      </c>
      <c r="X151" s="430">
        <f t="shared" si="50"/>
        <v>0</v>
      </c>
      <c r="Y151" s="430">
        <f t="shared" si="50"/>
        <v>0</v>
      </c>
      <c r="Z151" s="430">
        <f t="shared" si="50"/>
        <v>0</v>
      </c>
      <c r="AA151" s="430">
        <f t="shared" si="50"/>
        <v>0</v>
      </c>
      <c r="AB151" s="430">
        <f t="shared" si="50"/>
        <v>0</v>
      </c>
      <c r="AC151" s="430">
        <f t="shared" si="50"/>
        <v>0</v>
      </c>
      <c r="AD151" s="430">
        <f t="shared" si="50"/>
        <v>0</v>
      </c>
      <c r="AE151" s="430">
        <f t="shared" si="50"/>
        <v>0</v>
      </c>
      <c r="AF151" s="430">
        <f t="shared" si="50"/>
        <v>0</v>
      </c>
      <c r="AG151" s="430">
        <f t="shared" si="50"/>
        <v>0</v>
      </c>
      <c r="AH151" s="430">
        <f t="shared" si="50"/>
        <v>0</v>
      </c>
      <c r="AI151" s="430">
        <f t="shared" si="50"/>
        <v>0</v>
      </c>
    </row>
    <row r="152" spans="1:35" x14ac:dyDescent="0.2">
      <c r="A152" s="638">
        <v>5931</v>
      </c>
      <c r="B152" s="641" t="s">
        <v>37</v>
      </c>
      <c r="C152" s="430">
        <f t="shared" ref="C152:AI152" si="51">ROUND((+C137*0.4),0)</f>
        <v>21872</v>
      </c>
      <c r="D152" s="430">
        <f t="shared" si="51"/>
        <v>22406</v>
      </c>
      <c r="E152" s="430">
        <f t="shared" si="51"/>
        <v>22954</v>
      </c>
      <c r="F152" s="430">
        <f t="shared" si="51"/>
        <v>23514</v>
      </c>
      <c r="G152" s="430">
        <f t="shared" si="51"/>
        <v>24089</v>
      </c>
      <c r="H152" s="430">
        <f t="shared" si="51"/>
        <v>24678</v>
      </c>
      <c r="I152" s="430">
        <f t="shared" si="51"/>
        <v>25281</v>
      </c>
      <c r="J152" s="430">
        <f t="shared" si="51"/>
        <v>25898</v>
      </c>
      <c r="K152" s="430">
        <f t="shared" si="51"/>
        <v>26531</v>
      </c>
      <c r="L152" s="430">
        <f t="shared" si="51"/>
        <v>27180</v>
      </c>
      <c r="M152" s="430">
        <f t="shared" si="51"/>
        <v>27844</v>
      </c>
      <c r="N152" s="430">
        <f t="shared" si="51"/>
        <v>28524</v>
      </c>
      <c r="O152" s="430">
        <f t="shared" si="51"/>
        <v>29221</v>
      </c>
      <c r="P152" s="430">
        <f t="shared" si="51"/>
        <v>29935</v>
      </c>
      <c r="Q152" s="430">
        <f t="shared" si="51"/>
        <v>30667</v>
      </c>
      <c r="R152" s="430">
        <f t="shared" si="51"/>
        <v>31416</v>
      </c>
      <c r="S152" s="430">
        <f t="shared" si="51"/>
        <v>32184</v>
      </c>
      <c r="T152" s="430">
        <f t="shared" si="51"/>
        <v>32970</v>
      </c>
      <c r="U152" s="430">
        <f t="shared" si="51"/>
        <v>33776</v>
      </c>
      <c r="V152" s="430">
        <f t="shared" si="51"/>
        <v>34601</v>
      </c>
      <c r="W152" s="430">
        <f t="shared" si="51"/>
        <v>35446</v>
      </c>
      <c r="X152" s="430">
        <f t="shared" si="51"/>
        <v>0</v>
      </c>
      <c r="Y152" s="430">
        <f t="shared" si="51"/>
        <v>0</v>
      </c>
      <c r="Z152" s="430">
        <f t="shared" si="51"/>
        <v>0</v>
      </c>
      <c r="AA152" s="430">
        <f t="shared" si="51"/>
        <v>0</v>
      </c>
      <c r="AB152" s="430">
        <f t="shared" si="51"/>
        <v>0</v>
      </c>
      <c r="AC152" s="430">
        <f t="shared" si="51"/>
        <v>0</v>
      </c>
      <c r="AD152" s="430">
        <f t="shared" si="51"/>
        <v>0</v>
      </c>
      <c r="AE152" s="430">
        <f t="shared" si="51"/>
        <v>0</v>
      </c>
      <c r="AF152" s="430">
        <f t="shared" si="51"/>
        <v>0</v>
      </c>
      <c r="AG152" s="430">
        <f t="shared" si="51"/>
        <v>0</v>
      </c>
      <c r="AH152" s="430">
        <f t="shared" si="51"/>
        <v>0</v>
      </c>
      <c r="AI152" s="430">
        <f t="shared" si="51"/>
        <v>0</v>
      </c>
    </row>
    <row r="153" spans="1:35" x14ac:dyDescent="0.2">
      <c r="A153" s="638">
        <v>5932</v>
      </c>
      <c r="B153" s="641" t="s">
        <v>38</v>
      </c>
      <c r="C153" s="430">
        <f t="shared" ref="C153:AI153" si="52">ROUND((+C138*0.4),0)</f>
        <v>6444</v>
      </c>
      <c r="D153" s="430">
        <f t="shared" si="52"/>
        <v>6726</v>
      </c>
      <c r="E153" s="430">
        <f t="shared" si="52"/>
        <v>7020</v>
      </c>
      <c r="F153" s="430">
        <f t="shared" si="52"/>
        <v>7327</v>
      </c>
      <c r="G153" s="430">
        <f t="shared" si="52"/>
        <v>7647</v>
      </c>
      <c r="H153" s="430">
        <f t="shared" si="52"/>
        <v>7982</v>
      </c>
      <c r="I153" s="430">
        <f t="shared" si="52"/>
        <v>8331</v>
      </c>
      <c r="J153" s="430">
        <f t="shared" si="52"/>
        <v>8696</v>
      </c>
      <c r="K153" s="430">
        <f t="shared" si="52"/>
        <v>9076</v>
      </c>
      <c r="L153" s="430">
        <f t="shared" si="52"/>
        <v>9473</v>
      </c>
      <c r="M153" s="430">
        <f t="shared" si="52"/>
        <v>9888</v>
      </c>
      <c r="N153" s="430">
        <f t="shared" si="52"/>
        <v>10320</v>
      </c>
      <c r="O153" s="430">
        <f t="shared" si="52"/>
        <v>10772</v>
      </c>
      <c r="P153" s="430">
        <f t="shared" si="52"/>
        <v>11243</v>
      </c>
      <c r="Q153" s="430">
        <f t="shared" si="52"/>
        <v>11735</v>
      </c>
      <c r="R153" s="430">
        <f t="shared" si="52"/>
        <v>12248</v>
      </c>
      <c r="S153" s="430">
        <f t="shared" si="52"/>
        <v>12784</v>
      </c>
      <c r="T153" s="430">
        <f t="shared" si="52"/>
        <v>13344</v>
      </c>
      <c r="U153" s="430">
        <f t="shared" si="52"/>
        <v>13927</v>
      </c>
      <c r="V153" s="430">
        <f t="shared" si="52"/>
        <v>14536</v>
      </c>
      <c r="W153" s="430">
        <f t="shared" si="52"/>
        <v>15172</v>
      </c>
      <c r="X153" s="430">
        <f t="shared" si="52"/>
        <v>15836</v>
      </c>
      <c r="Y153" s="430">
        <f t="shared" si="52"/>
        <v>16529</v>
      </c>
      <c r="Z153" s="430">
        <f t="shared" si="52"/>
        <v>17252</v>
      </c>
      <c r="AA153" s="430">
        <f t="shared" si="52"/>
        <v>18007</v>
      </c>
      <c r="AB153" s="430">
        <f t="shared" si="52"/>
        <v>18795</v>
      </c>
      <c r="AC153" s="430">
        <f t="shared" si="52"/>
        <v>19617</v>
      </c>
      <c r="AD153" s="430">
        <f t="shared" si="52"/>
        <v>20475</v>
      </c>
      <c r="AE153" s="430">
        <f t="shared" si="52"/>
        <v>21302</v>
      </c>
      <c r="AF153" s="430">
        <f t="shared" si="52"/>
        <v>0</v>
      </c>
      <c r="AG153" s="430">
        <f t="shared" si="52"/>
        <v>0</v>
      </c>
      <c r="AH153" s="430">
        <f t="shared" si="52"/>
        <v>0</v>
      </c>
      <c r="AI153" s="430">
        <f t="shared" si="52"/>
        <v>0</v>
      </c>
    </row>
    <row r="154" spans="1:35" ht="13.5" thickBot="1" x14ac:dyDescent="0.25">
      <c r="A154" s="638">
        <v>5933</v>
      </c>
      <c r="B154" s="641" t="s">
        <v>341</v>
      </c>
      <c r="C154" s="429">
        <f t="shared" ref="C154:AI154" si="53">ROUND((+C139*0.4),0)</f>
        <v>5891</v>
      </c>
      <c r="D154" s="429">
        <f t="shared" si="53"/>
        <v>6134</v>
      </c>
      <c r="E154" s="429">
        <f t="shared" si="53"/>
        <v>6387</v>
      </c>
      <c r="F154" s="429">
        <f t="shared" si="53"/>
        <v>6651</v>
      </c>
      <c r="G154" s="429">
        <f t="shared" si="53"/>
        <v>6925</v>
      </c>
      <c r="H154" s="429">
        <f t="shared" si="53"/>
        <v>7211</v>
      </c>
      <c r="I154" s="429">
        <f t="shared" si="53"/>
        <v>7508</v>
      </c>
      <c r="J154" s="429">
        <f t="shared" si="53"/>
        <v>7818</v>
      </c>
      <c r="K154" s="429">
        <f t="shared" si="53"/>
        <v>8140</v>
      </c>
      <c r="L154" s="429">
        <f t="shared" si="53"/>
        <v>8476</v>
      </c>
      <c r="M154" s="429">
        <f t="shared" si="53"/>
        <v>8826</v>
      </c>
      <c r="N154" s="429">
        <f t="shared" si="53"/>
        <v>9190</v>
      </c>
      <c r="O154" s="429">
        <f t="shared" si="53"/>
        <v>9569</v>
      </c>
      <c r="P154" s="429">
        <f t="shared" si="53"/>
        <v>9964</v>
      </c>
      <c r="Q154" s="429">
        <f t="shared" si="53"/>
        <v>10374</v>
      </c>
      <c r="R154" s="429">
        <f t="shared" si="53"/>
        <v>10802</v>
      </c>
      <c r="S154" s="429">
        <f t="shared" si="53"/>
        <v>11248</v>
      </c>
      <c r="T154" s="429">
        <f t="shared" si="53"/>
        <v>11712</v>
      </c>
      <c r="U154" s="429">
        <f t="shared" si="53"/>
        <v>12195</v>
      </c>
      <c r="V154" s="429">
        <f t="shared" si="53"/>
        <v>12698</v>
      </c>
      <c r="W154" s="429">
        <f t="shared" si="53"/>
        <v>13222</v>
      </c>
      <c r="X154" s="429">
        <f t="shared" si="53"/>
        <v>13767</v>
      </c>
      <c r="Y154" s="429">
        <f t="shared" si="53"/>
        <v>14335</v>
      </c>
      <c r="Z154" s="429">
        <f t="shared" si="53"/>
        <v>14927</v>
      </c>
      <c r="AA154" s="429">
        <f t="shared" si="53"/>
        <v>15542</v>
      </c>
      <c r="AB154" s="429">
        <f t="shared" si="53"/>
        <v>16184</v>
      </c>
      <c r="AC154" s="429">
        <f t="shared" si="53"/>
        <v>16851</v>
      </c>
      <c r="AD154" s="429">
        <f t="shared" si="53"/>
        <v>17546</v>
      </c>
      <c r="AE154" s="429">
        <f t="shared" si="53"/>
        <v>18270</v>
      </c>
      <c r="AF154" s="429">
        <f t="shared" si="53"/>
        <v>19024</v>
      </c>
      <c r="AG154" s="429">
        <f t="shared" si="53"/>
        <v>19685</v>
      </c>
      <c r="AH154" s="429">
        <f t="shared" si="53"/>
        <v>0</v>
      </c>
      <c r="AI154" s="429">
        <f t="shared" si="53"/>
        <v>0</v>
      </c>
    </row>
    <row r="155" spans="1:35" x14ac:dyDescent="0.2">
      <c r="A155" s="638"/>
      <c r="B155" s="639"/>
      <c r="C155" s="642"/>
      <c r="D155" s="642"/>
      <c r="E155" s="642"/>
      <c r="F155" s="642"/>
      <c r="G155" s="642"/>
      <c r="H155" s="642"/>
      <c r="I155" s="642"/>
      <c r="J155" s="642"/>
      <c r="K155" s="642"/>
      <c r="L155" s="642"/>
      <c r="M155" s="642"/>
      <c r="N155" s="642"/>
      <c r="O155" s="642"/>
      <c r="P155" s="642"/>
      <c r="Q155" s="642"/>
      <c r="R155" s="642"/>
      <c r="S155" s="642"/>
      <c r="T155" s="642"/>
      <c r="U155" s="642"/>
      <c r="V155" s="642"/>
      <c r="W155" s="642"/>
      <c r="X155" s="642"/>
      <c r="Y155" s="642"/>
      <c r="Z155" s="642"/>
      <c r="AA155" s="642"/>
      <c r="AB155" s="642"/>
      <c r="AC155" s="642"/>
      <c r="AD155" s="642"/>
      <c r="AE155" s="642"/>
      <c r="AF155" s="642"/>
      <c r="AG155" s="642"/>
      <c r="AH155" s="642"/>
      <c r="AI155" s="642"/>
    </row>
    <row r="156" spans="1:35" x14ac:dyDescent="0.2">
      <c r="A156" s="638">
        <v>751</v>
      </c>
      <c r="B156" s="639" t="s">
        <v>224</v>
      </c>
      <c r="C156" s="642"/>
      <c r="D156" s="642"/>
      <c r="E156" s="642"/>
      <c r="F156" s="642"/>
      <c r="G156" s="642"/>
      <c r="H156" s="642"/>
      <c r="I156" s="642"/>
      <c r="J156" s="642"/>
      <c r="K156" s="642"/>
      <c r="L156" s="642"/>
      <c r="M156" s="642"/>
      <c r="N156" s="642"/>
      <c r="O156" s="642"/>
      <c r="P156" s="642"/>
      <c r="Q156" s="642"/>
      <c r="R156" s="642"/>
      <c r="S156" s="642"/>
      <c r="T156" s="642"/>
      <c r="U156" s="642"/>
      <c r="V156" s="642"/>
      <c r="W156" s="642"/>
      <c r="X156" s="642"/>
      <c r="Y156" s="642"/>
      <c r="Z156" s="642"/>
      <c r="AA156" s="642"/>
      <c r="AB156" s="642"/>
      <c r="AC156" s="642"/>
      <c r="AD156" s="642"/>
      <c r="AE156" s="642"/>
      <c r="AF156" s="642"/>
      <c r="AG156" s="642"/>
      <c r="AH156" s="642"/>
      <c r="AI156" s="642"/>
    </row>
    <row r="157" spans="1:35" x14ac:dyDescent="0.2">
      <c r="A157" s="638">
        <v>5930</v>
      </c>
      <c r="B157" s="641" t="s">
        <v>36</v>
      </c>
      <c r="C157" s="430">
        <f t="shared" ref="C157:AI157" si="54">ROUND((+C142*0.4),0)</f>
        <v>4266</v>
      </c>
      <c r="D157" s="430">
        <f t="shared" si="54"/>
        <v>3638</v>
      </c>
      <c r="E157" s="430">
        <f t="shared" si="54"/>
        <v>3241</v>
      </c>
      <c r="F157" s="430">
        <f t="shared" si="54"/>
        <v>2836</v>
      </c>
      <c r="G157" s="430">
        <f t="shared" si="54"/>
        <v>2424</v>
      </c>
      <c r="H157" s="430">
        <f t="shared" si="54"/>
        <v>2002</v>
      </c>
      <c r="I157" s="430">
        <f t="shared" si="54"/>
        <v>1572</v>
      </c>
      <c r="J157" s="430">
        <f t="shared" si="54"/>
        <v>1134</v>
      </c>
      <c r="K157" s="430">
        <f t="shared" si="54"/>
        <v>687</v>
      </c>
      <c r="L157" s="430">
        <f t="shared" si="54"/>
        <v>231</v>
      </c>
      <c r="M157" s="430">
        <f t="shared" si="54"/>
        <v>0</v>
      </c>
      <c r="N157" s="430">
        <f t="shared" si="54"/>
        <v>0</v>
      </c>
      <c r="O157" s="430">
        <f t="shared" si="54"/>
        <v>0</v>
      </c>
      <c r="P157" s="430">
        <f t="shared" si="54"/>
        <v>0</v>
      </c>
      <c r="Q157" s="430">
        <f t="shared" si="54"/>
        <v>0</v>
      </c>
      <c r="R157" s="430">
        <f t="shared" si="54"/>
        <v>0</v>
      </c>
      <c r="S157" s="430">
        <f t="shared" si="54"/>
        <v>0</v>
      </c>
      <c r="T157" s="430">
        <f t="shared" si="54"/>
        <v>0</v>
      </c>
      <c r="U157" s="430">
        <f t="shared" si="54"/>
        <v>0</v>
      </c>
      <c r="V157" s="430">
        <f t="shared" si="54"/>
        <v>0</v>
      </c>
      <c r="W157" s="430">
        <f t="shared" si="54"/>
        <v>0</v>
      </c>
      <c r="X157" s="430">
        <f t="shared" si="54"/>
        <v>0</v>
      </c>
      <c r="Y157" s="430">
        <f t="shared" si="54"/>
        <v>0</v>
      </c>
      <c r="Z157" s="430">
        <f t="shared" si="54"/>
        <v>0</v>
      </c>
      <c r="AA157" s="430">
        <f t="shared" si="54"/>
        <v>0</v>
      </c>
      <c r="AB157" s="430">
        <f t="shared" si="54"/>
        <v>0</v>
      </c>
      <c r="AC157" s="430">
        <f t="shared" si="54"/>
        <v>0</v>
      </c>
      <c r="AD157" s="430">
        <f t="shared" si="54"/>
        <v>0</v>
      </c>
      <c r="AE157" s="430">
        <f t="shared" si="54"/>
        <v>0</v>
      </c>
      <c r="AF157" s="430">
        <f t="shared" si="54"/>
        <v>0</v>
      </c>
      <c r="AG157" s="430">
        <f t="shared" si="54"/>
        <v>0</v>
      </c>
      <c r="AH157" s="430">
        <f t="shared" si="54"/>
        <v>0</v>
      </c>
      <c r="AI157" s="430">
        <f t="shared" si="54"/>
        <v>0</v>
      </c>
    </row>
    <row r="158" spans="1:35" x14ac:dyDescent="0.2">
      <c r="A158" s="638" t="s">
        <v>599</v>
      </c>
      <c r="B158" s="641" t="s">
        <v>39</v>
      </c>
      <c r="C158" s="430">
        <f t="shared" ref="C158:AI158" si="55">ROUND((+C143*0.4),0)</f>
        <v>302</v>
      </c>
      <c r="D158" s="430">
        <f t="shared" si="55"/>
        <v>273</v>
      </c>
      <c r="E158" s="430">
        <f t="shared" si="55"/>
        <v>243</v>
      </c>
      <c r="F158" s="430">
        <f t="shared" si="55"/>
        <v>213</v>
      </c>
      <c r="G158" s="430">
        <f t="shared" si="55"/>
        <v>182</v>
      </c>
      <c r="H158" s="430">
        <f t="shared" si="55"/>
        <v>150</v>
      </c>
      <c r="I158" s="430">
        <f t="shared" si="55"/>
        <v>118</v>
      </c>
      <c r="J158" s="430">
        <f t="shared" si="55"/>
        <v>85</v>
      </c>
      <c r="K158" s="430">
        <f t="shared" si="55"/>
        <v>52</v>
      </c>
      <c r="L158" s="430">
        <f t="shared" si="55"/>
        <v>178</v>
      </c>
      <c r="M158" s="430">
        <f t="shared" si="55"/>
        <v>0</v>
      </c>
      <c r="N158" s="430">
        <f t="shared" si="55"/>
        <v>0</v>
      </c>
      <c r="O158" s="430">
        <f t="shared" si="55"/>
        <v>0</v>
      </c>
      <c r="P158" s="430">
        <f t="shared" si="55"/>
        <v>0</v>
      </c>
      <c r="Q158" s="430">
        <f t="shared" si="55"/>
        <v>0</v>
      </c>
      <c r="R158" s="430">
        <f t="shared" si="55"/>
        <v>0</v>
      </c>
      <c r="S158" s="430">
        <f t="shared" si="55"/>
        <v>0</v>
      </c>
      <c r="T158" s="430">
        <f t="shared" si="55"/>
        <v>0</v>
      </c>
      <c r="U158" s="430">
        <f t="shared" si="55"/>
        <v>0</v>
      </c>
      <c r="V158" s="430">
        <f t="shared" si="55"/>
        <v>0</v>
      </c>
      <c r="W158" s="430">
        <f t="shared" si="55"/>
        <v>0</v>
      </c>
      <c r="X158" s="430">
        <f t="shared" si="55"/>
        <v>0</v>
      </c>
      <c r="Y158" s="430">
        <f t="shared" si="55"/>
        <v>0</v>
      </c>
      <c r="Z158" s="430">
        <f t="shared" si="55"/>
        <v>0</v>
      </c>
      <c r="AA158" s="430">
        <f t="shared" si="55"/>
        <v>0</v>
      </c>
      <c r="AB158" s="430">
        <f t="shared" si="55"/>
        <v>0</v>
      </c>
      <c r="AC158" s="430">
        <f t="shared" si="55"/>
        <v>0</v>
      </c>
      <c r="AD158" s="430">
        <f t="shared" si="55"/>
        <v>0</v>
      </c>
      <c r="AE158" s="430">
        <f t="shared" si="55"/>
        <v>0</v>
      </c>
      <c r="AF158" s="430">
        <f t="shared" si="55"/>
        <v>0</v>
      </c>
      <c r="AG158" s="430">
        <f t="shared" si="55"/>
        <v>0</v>
      </c>
      <c r="AH158" s="430">
        <f t="shared" si="55"/>
        <v>0</v>
      </c>
      <c r="AI158" s="430">
        <f t="shared" si="55"/>
        <v>0</v>
      </c>
    </row>
    <row r="159" spans="1:35" x14ac:dyDescent="0.2">
      <c r="A159" s="638">
        <v>5931</v>
      </c>
      <c r="B159" s="641" t="s">
        <v>37</v>
      </c>
      <c r="C159" s="430">
        <f t="shared" ref="C159:AI159" si="56">ROUND((+C144*0.4),0)</f>
        <v>14054</v>
      </c>
      <c r="D159" s="430">
        <f t="shared" si="56"/>
        <v>13468</v>
      </c>
      <c r="E159" s="430">
        <f t="shared" si="56"/>
        <v>12921</v>
      </c>
      <c r="F159" s="430">
        <f t="shared" si="56"/>
        <v>12360</v>
      </c>
      <c r="G159" s="430">
        <f t="shared" si="56"/>
        <v>11785</v>
      </c>
      <c r="H159" s="430">
        <f t="shared" si="56"/>
        <v>11197</v>
      </c>
      <c r="I159" s="430">
        <f t="shared" si="56"/>
        <v>10594</v>
      </c>
      <c r="J159" s="430">
        <f t="shared" si="56"/>
        <v>9976</v>
      </c>
      <c r="K159" s="430">
        <f t="shared" si="56"/>
        <v>9343</v>
      </c>
      <c r="L159" s="430">
        <f t="shared" si="56"/>
        <v>8695</v>
      </c>
      <c r="M159" s="430">
        <f t="shared" si="56"/>
        <v>8031</v>
      </c>
      <c r="N159" s="430">
        <f t="shared" si="56"/>
        <v>7350</v>
      </c>
      <c r="O159" s="430">
        <f t="shared" si="56"/>
        <v>6653</v>
      </c>
      <c r="P159" s="430">
        <f t="shared" si="56"/>
        <v>5939</v>
      </c>
      <c r="Q159" s="430">
        <f t="shared" si="56"/>
        <v>5208</v>
      </c>
      <c r="R159" s="430">
        <f t="shared" si="56"/>
        <v>4458</v>
      </c>
      <c r="S159" s="430">
        <f t="shared" si="56"/>
        <v>3691</v>
      </c>
      <c r="T159" s="430">
        <f t="shared" si="56"/>
        <v>2904</v>
      </c>
      <c r="U159" s="430">
        <f t="shared" si="56"/>
        <v>2099</v>
      </c>
      <c r="V159" s="430">
        <f t="shared" si="56"/>
        <v>1274</v>
      </c>
      <c r="W159" s="430">
        <f t="shared" si="56"/>
        <v>428</v>
      </c>
      <c r="X159" s="430">
        <f t="shared" si="56"/>
        <v>0</v>
      </c>
      <c r="Y159" s="430">
        <f t="shared" si="56"/>
        <v>0</v>
      </c>
      <c r="Z159" s="430">
        <f t="shared" si="56"/>
        <v>0</v>
      </c>
      <c r="AA159" s="430">
        <f t="shared" si="56"/>
        <v>0</v>
      </c>
      <c r="AB159" s="430">
        <f t="shared" si="56"/>
        <v>0</v>
      </c>
      <c r="AC159" s="430">
        <f t="shared" si="56"/>
        <v>0</v>
      </c>
      <c r="AD159" s="430">
        <f t="shared" si="56"/>
        <v>0</v>
      </c>
      <c r="AE159" s="430">
        <f t="shared" si="56"/>
        <v>0</v>
      </c>
      <c r="AF159" s="430">
        <f t="shared" si="56"/>
        <v>0</v>
      </c>
      <c r="AG159" s="430">
        <f t="shared" si="56"/>
        <v>0</v>
      </c>
      <c r="AH159" s="430">
        <f t="shared" si="56"/>
        <v>0</v>
      </c>
      <c r="AI159" s="430">
        <f t="shared" si="56"/>
        <v>0</v>
      </c>
    </row>
    <row r="160" spans="1:35" x14ac:dyDescent="0.2">
      <c r="A160" s="638" t="s">
        <v>600</v>
      </c>
      <c r="B160" s="641" t="s">
        <v>40</v>
      </c>
      <c r="C160" s="430">
        <f t="shared" ref="C160:AI160" si="57">ROUND((+C145*0.4),0)</f>
        <v>870</v>
      </c>
      <c r="D160" s="430">
        <f t="shared" si="57"/>
        <v>837</v>
      </c>
      <c r="E160" s="430">
        <f t="shared" si="57"/>
        <v>803</v>
      </c>
      <c r="F160" s="430">
        <f t="shared" si="57"/>
        <v>768</v>
      </c>
      <c r="G160" s="430">
        <f t="shared" si="57"/>
        <v>732</v>
      </c>
      <c r="H160" s="430">
        <f t="shared" si="57"/>
        <v>696</v>
      </c>
      <c r="I160" s="430">
        <f t="shared" si="57"/>
        <v>658</v>
      </c>
      <c r="J160" s="430">
        <f t="shared" si="57"/>
        <v>580</v>
      </c>
      <c r="K160" s="430">
        <f t="shared" si="57"/>
        <v>581</v>
      </c>
      <c r="L160" s="430">
        <f t="shared" si="57"/>
        <v>540</v>
      </c>
      <c r="M160" s="430">
        <f t="shared" si="57"/>
        <v>499</v>
      </c>
      <c r="N160" s="430">
        <f t="shared" si="57"/>
        <v>457</v>
      </c>
      <c r="O160" s="430">
        <f t="shared" si="57"/>
        <v>414</v>
      </c>
      <c r="P160" s="430">
        <f t="shared" si="57"/>
        <v>369</v>
      </c>
      <c r="Q160" s="430">
        <f t="shared" si="57"/>
        <v>324</v>
      </c>
      <c r="R160" s="430">
        <f t="shared" si="57"/>
        <v>277</v>
      </c>
      <c r="S160" s="430">
        <f t="shared" si="57"/>
        <v>230</v>
      </c>
      <c r="T160" s="430">
        <f t="shared" si="57"/>
        <v>181</v>
      </c>
      <c r="U160" s="430">
        <f t="shared" si="57"/>
        <v>131</v>
      </c>
      <c r="V160" s="430">
        <f t="shared" si="57"/>
        <v>79</v>
      </c>
      <c r="W160" s="430">
        <f t="shared" si="57"/>
        <v>27</v>
      </c>
      <c r="X160" s="430">
        <f t="shared" si="57"/>
        <v>0</v>
      </c>
      <c r="Y160" s="430">
        <f t="shared" si="57"/>
        <v>0</v>
      </c>
      <c r="Z160" s="430">
        <f t="shared" si="57"/>
        <v>0</v>
      </c>
      <c r="AA160" s="430">
        <f t="shared" si="57"/>
        <v>0</v>
      </c>
      <c r="AB160" s="430">
        <f t="shared" si="57"/>
        <v>0</v>
      </c>
      <c r="AC160" s="430">
        <f t="shared" si="57"/>
        <v>0</v>
      </c>
      <c r="AD160" s="430">
        <f t="shared" si="57"/>
        <v>0</v>
      </c>
      <c r="AE160" s="430">
        <f t="shared" si="57"/>
        <v>0</v>
      </c>
      <c r="AF160" s="430">
        <f t="shared" si="57"/>
        <v>0</v>
      </c>
      <c r="AG160" s="430">
        <f t="shared" si="57"/>
        <v>0</v>
      </c>
      <c r="AH160" s="430">
        <f t="shared" si="57"/>
        <v>0</v>
      </c>
      <c r="AI160" s="430">
        <f t="shared" si="57"/>
        <v>0</v>
      </c>
    </row>
    <row r="161" spans="1:35" x14ac:dyDescent="0.2">
      <c r="A161" s="638">
        <v>5932</v>
      </c>
      <c r="B161" s="641" t="s">
        <v>38</v>
      </c>
      <c r="C161" s="430">
        <f t="shared" ref="C161:AI161" si="58">ROUND((+C146*0.4),0)</f>
        <v>15860</v>
      </c>
      <c r="D161" s="430">
        <f t="shared" si="58"/>
        <v>15578</v>
      </c>
      <c r="E161" s="430">
        <f t="shared" si="58"/>
        <v>15283</v>
      </c>
      <c r="F161" s="430">
        <f t="shared" si="58"/>
        <v>14976</v>
      </c>
      <c r="G161" s="430">
        <f t="shared" si="58"/>
        <v>14656</v>
      </c>
      <c r="H161" s="430">
        <f t="shared" si="58"/>
        <v>14321</v>
      </c>
      <c r="I161" s="430">
        <f t="shared" si="58"/>
        <v>13972</v>
      </c>
      <c r="J161" s="430">
        <f t="shared" si="58"/>
        <v>13608</v>
      </c>
      <c r="K161" s="430">
        <f t="shared" si="58"/>
        <v>13227</v>
      </c>
      <c r="L161" s="430">
        <f t="shared" si="58"/>
        <v>12830</v>
      </c>
      <c r="M161" s="430">
        <f t="shared" si="58"/>
        <v>12416</v>
      </c>
      <c r="N161" s="430">
        <f t="shared" si="58"/>
        <v>11983</v>
      </c>
      <c r="O161" s="430">
        <f t="shared" si="58"/>
        <v>11532</v>
      </c>
      <c r="P161" s="430">
        <f t="shared" si="58"/>
        <v>11060</v>
      </c>
      <c r="Q161" s="430">
        <f t="shared" si="58"/>
        <v>10568</v>
      </c>
      <c r="R161" s="430">
        <f t="shared" si="58"/>
        <v>10055</v>
      </c>
      <c r="S161" s="430">
        <f t="shared" si="58"/>
        <v>9519</v>
      </c>
      <c r="T161" s="430">
        <f t="shared" si="58"/>
        <v>8960</v>
      </c>
      <c r="U161" s="430">
        <f t="shared" si="58"/>
        <v>8376</v>
      </c>
      <c r="V161" s="430">
        <f t="shared" si="58"/>
        <v>7767</v>
      </c>
      <c r="W161" s="430">
        <f t="shared" si="58"/>
        <v>7131</v>
      </c>
      <c r="X161" s="430">
        <f t="shared" si="58"/>
        <v>6467</v>
      </c>
      <c r="Y161" s="430">
        <f t="shared" si="58"/>
        <v>5774</v>
      </c>
      <c r="Z161" s="430">
        <f t="shared" si="58"/>
        <v>5051</v>
      </c>
      <c r="AA161" s="430">
        <f t="shared" si="58"/>
        <v>4296</v>
      </c>
      <c r="AB161" s="430">
        <f t="shared" si="58"/>
        <v>3508</v>
      </c>
      <c r="AC161" s="430">
        <f t="shared" si="58"/>
        <v>2686</v>
      </c>
      <c r="AD161" s="430">
        <f t="shared" si="58"/>
        <v>1828</v>
      </c>
      <c r="AE161" s="430">
        <f t="shared" si="58"/>
        <v>932</v>
      </c>
      <c r="AF161" s="430">
        <f t="shared" si="58"/>
        <v>0</v>
      </c>
      <c r="AG161" s="430">
        <f t="shared" si="58"/>
        <v>0</v>
      </c>
      <c r="AH161" s="430">
        <f t="shared" si="58"/>
        <v>0</v>
      </c>
      <c r="AI161" s="430">
        <f t="shared" si="58"/>
        <v>0</v>
      </c>
    </row>
    <row r="162" spans="1:35" ht="13.5" thickBot="1" x14ac:dyDescent="0.25">
      <c r="A162" s="638">
        <v>5933</v>
      </c>
      <c r="B162" s="641" t="s">
        <v>341</v>
      </c>
      <c r="C162" s="429">
        <f t="shared" ref="C162:AI162" si="59">ROUND((+C147*0.4),0)</f>
        <v>14729</v>
      </c>
      <c r="D162" s="429">
        <f t="shared" si="59"/>
        <v>14486</v>
      </c>
      <c r="E162" s="429">
        <f t="shared" si="59"/>
        <v>14233</v>
      </c>
      <c r="F162" s="429">
        <f t="shared" si="59"/>
        <v>13970</v>
      </c>
      <c r="G162" s="429">
        <f t="shared" si="59"/>
        <v>13695</v>
      </c>
      <c r="H162" s="429">
        <f t="shared" si="59"/>
        <v>13410</v>
      </c>
      <c r="I162" s="429">
        <f t="shared" si="59"/>
        <v>13112</v>
      </c>
      <c r="J162" s="429">
        <f t="shared" si="59"/>
        <v>12802</v>
      </c>
      <c r="K162" s="429">
        <f t="shared" si="59"/>
        <v>12480</v>
      </c>
      <c r="L162" s="429">
        <f t="shared" si="59"/>
        <v>12144</v>
      </c>
      <c r="M162" s="429">
        <f t="shared" si="59"/>
        <v>11795</v>
      </c>
      <c r="N162" s="429">
        <f t="shared" si="59"/>
        <v>11431</v>
      </c>
      <c r="O162" s="429">
        <f t="shared" si="59"/>
        <v>11052</v>
      </c>
      <c r="P162" s="429">
        <f t="shared" si="59"/>
        <v>10657</v>
      </c>
      <c r="Q162" s="429">
        <f t="shared" si="59"/>
        <v>10246</v>
      </c>
      <c r="R162" s="429">
        <f t="shared" si="59"/>
        <v>9818</v>
      </c>
      <c r="S162" s="429">
        <f t="shared" si="59"/>
        <v>9372</v>
      </c>
      <c r="T162" s="429">
        <f t="shared" si="59"/>
        <v>8908</v>
      </c>
      <c r="U162" s="429">
        <f t="shared" si="59"/>
        <v>8425</v>
      </c>
      <c r="V162" s="429">
        <f t="shared" si="59"/>
        <v>7922</v>
      </c>
      <c r="W162" s="429">
        <f t="shared" si="59"/>
        <v>7398</v>
      </c>
      <c r="X162" s="429">
        <f t="shared" si="59"/>
        <v>6853</v>
      </c>
      <c r="Y162" s="429">
        <f t="shared" si="59"/>
        <v>6285</v>
      </c>
      <c r="Z162" s="429">
        <f t="shared" si="59"/>
        <v>5694</v>
      </c>
      <c r="AA162" s="429">
        <f t="shared" si="59"/>
        <v>5078</v>
      </c>
      <c r="AB162" s="429">
        <f t="shared" si="59"/>
        <v>4437</v>
      </c>
      <c r="AC162" s="429">
        <f t="shared" si="59"/>
        <v>3769</v>
      </c>
      <c r="AD162" s="429">
        <f t="shared" si="59"/>
        <v>3074</v>
      </c>
      <c r="AE162" s="429">
        <f t="shared" si="59"/>
        <v>2350</v>
      </c>
      <c r="AF162" s="429">
        <f t="shared" si="59"/>
        <v>1597</v>
      </c>
      <c r="AG162" s="429">
        <f t="shared" si="59"/>
        <v>812</v>
      </c>
      <c r="AH162" s="429">
        <f t="shared" si="59"/>
        <v>0</v>
      </c>
      <c r="AI162" s="429">
        <f t="shared" si="59"/>
        <v>0</v>
      </c>
    </row>
    <row r="163" spans="1:35" x14ac:dyDescent="0.2">
      <c r="A163" s="638"/>
      <c r="B163" s="639"/>
      <c r="C163" s="643"/>
      <c r="D163" s="643"/>
      <c r="E163" s="643"/>
      <c r="F163" s="643"/>
      <c r="G163" s="643"/>
      <c r="H163" s="643"/>
      <c r="I163" s="643"/>
      <c r="J163" s="643"/>
      <c r="K163" s="643"/>
      <c r="L163" s="643"/>
      <c r="M163" s="643"/>
      <c r="N163" s="643"/>
      <c r="O163" s="643"/>
      <c r="P163" s="643"/>
      <c r="Q163" s="643"/>
      <c r="R163" s="643"/>
      <c r="S163" s="643"/>
      <c r="T163" s="643"/>
      <c r="U163" s="643"/>
      <c r="V163" s="643"/>
      <c r="W163" s="643"/>
      <c r="X163" s="643"/>
      <c r="Y163" s="643"/>
      <c r="Z163" s="643"/>
      <c r="AA163" s="643"/>
      <c r="AB163" s="643"/>
      <c r="AC163" s="643"/>
      <c r="AD163" s="643"/>
      <c r="AE163" s="643"/>
      <c r="AF163" s="643"/>
      <c r="AG163" s="643"/>
      <c r="AH163" s="643"/>
      <c r="AI163" s="643"/>
    </row>
    <row r="165" spans="1:35" x14ac:dyDescent="0.2">
      <c r="A165" s="644" t="s">
        <v>1109</v>
      </c>
      <c r="B165" s="627"/>
      <c r="C165" s="628"/>
      <c r="D165" s="628"/>
      <c r="E165" s="628"/>
      <c r="F165" s="628"/>
      <c r="G165" s="628"/>
      <c r="H165" s="628"/>
      <c r="I165" s="628"/>
      <c r="J165" s="628"/>
      <c r="K165" s="628"/>
      <c r="L165" s="628"/>
      <c r="M165" s="628"/>
      <c r="N165" s="628"/>
      <c r="O165" s="628"/>
      <c r="P165" s="628"/>
      <c r="Q165" s="628"/>
      <c r="R165" s="628"/>
      <c r="S165" s="628"/>
      <c r="T165" s="628"/>
      <c r="U165" s="628"/>
      <c r="V165" s="628"/>
      <c r="W165" s="628"/>
      <c r="X165" s="628"/>
      <c r="Y165" s="628"/>
      <c r="Z165" s="628"/>
      <c r="AA165" s="628"/>
      <c r="AB165" s="628"/>
      <c r="AC165" s="628"/>
      <c r="AD165" s="628"/>
      <c r="AE165" s="628"/>
      <c r="AF165" s="628"/>
      <c r="AG165" s="628"/>
      <c r="AH165" s="628"/>
      <c r="AI165" s="20"/>
    </row>
    <row r="166" spans="1:35" x14ac:dyDescent="0.2">
      <c r="A166" s="629">
        <v>710</v>
      </c>
      <c r="B166" s="630" t="s">
        <v>223</v>
      </c>
      <c r="C166" s="631"/>
      <c r="D166" s="631"/>
      <c r="E166" s="631"/>
      <c r="F166" s="631"/>
      <c r="G166" s="631"/>
      <c r="H166" s="631"/>
      <c r="I166" s="631"/>
      <c r="J166" s="631"/>
      <c r="K166" s="631"/>
      <c r="L166" s="631"/>
      <c r="M166" s="631"/>
      <c r="N166" s="631"/>
      <c r="O166" s="631"/>
      <c r="P166" s="631"/>
      <c r="Q166" s="631"/>
      <c r="R166" s="631"/>
      <c r="S166" s="631"/>
      <c r="T166" s="631"/>
      <c r="U166" s="631"/>
      <c r="V166" s="631"/>
      <c r="W166" s="631"/>
      <c r="X166" s="631"/>
      <c r="Y166" s="631"/>
      <c r="Z166" s="631"/>
      <c r="AA166" s="631"/>
      <c r="AB166" s="631"/>
      <c r="AC166" s="631"/>
      <c r="AD166" s="631"/>
      <c r="AE166" s="631"/>
      <c r="AF166" s="631"/>
      <c r="AG166" s="631"/>
      <c r="AH166" s="631"/>
      <c r="AI166" s="15"/>
    </row>
    <row r="167" spans="1:35" x14ac:dyDescent="0.2">
      <c r="A167" s="629">
        <v>5930</v>
      </c>
      <c r="B167" s="632" t="s">
        <v>36</v>
      </c>
      <c r="C167" s="631">
        <f t="shared" ref="C167:AI167" si="60">+C136-C151</f>
        <v>28869</v>
      </c>
      <c r="D167" s="631">
        <f t="shared" si="60"/>
        <v>29452</v>
      </c>
      <c r="E167" s="631">
        <f t="shared" si="60"/>
        <v>30047</v>
      </c>
      <c r="F167" s="631">
        <f t="shared" si="60"/>
        <v>31141</v>
      </c>
      <c r="G167" s="631">
        <f t="shared" si="60"/>
        <v>31274</v>
      </c>
      <c r="H167" s="631">
        <f t="shared" si="60"/>
        <v>31906</v>
      </c>
      <c r="I167" s="631">
        <f t="shared" si="60"/>
        <v>32550</v>
      </c>
      <c r="J167" s="631">
        <f t="shared" si="60"/>
        <v>33208</v>
      </c>
      <c r="K167" s="631">
        <f t="shared" si="60"/>
        <v>33878</v>
      </c>
      <c r="L167" s="631">
        <f t="shared" si="60"/>
        <v>34563</v>
      </c>
      <c r="M167" s="631">
        <f t="shared" si="60"/>
        <v>0</v>
      </c>
      <c r="N167" s="631">
        <f t="shared" si="60"/>
        <v>0</v>
      </c>
      <c r="O167" s="631">
        <f t="shared" si="60"/>
        <v>0</v>
      </c>
      <c r="P167" s="631">
        <f t="shared" si="60"/>
        <v>0</v>
      </c>
      <c r="Q167" s="631">
        <f t="shared" si="60"/>
        <v>0</v>
      </c>
      <c r="R167" s="631">
        <f t="shared" si="60"/>
        <v>0</v>
      </c>
      <c r="S167" s="631">
        <f t="shared" si="60"/>
        <v>0</v>
      </c>
      <c r="T167" s="631">
        <f t="shared" si="60"/>
        <v>0</v>
      </c>
      <c r="U167" s="631">
        <f t="shared" si="60"/>
        <v>0</v>
      </c>
      <c r="V167" s="631">
        <f t="shared" si="60"/>
        <v>0</v>
      </c>
      <c r="W167" s="631">
        <f t="shared" si="60"/>
        <v>0</v>
      </c>
      <c r="X167" s="631">
        <f t="shared" si="60"/>
        <v>0</v>
      </c>
      <c r="Y167" s="631">
        <f t="shared" si="60"/>
        <v>0</v>
      </c>
      <c r="Z167" s="631">
        <f t="shared" si="60"/>
        <v>0</v>
      </c>
      <c r="AA167" s="631">
        <f t="shared" si="60"/>
        <v>0</v>
      </c>
      <c r="AB167" s="631">
        <f t="shared" si="60"/>
        <v>0</v>
      </c>
      <c r="AC167" s="631">
        <f t="shared" si="60"/>
        <v>0</v>
      </c>
      <c r="AD167" s="631">
        <f t="shared" si="60"/>
        <v>0</v>
      </c>
      <c r="AE167" s="631">
        <f t="shared" si="60"/>
        <v>0</v>
      </c>
      <c r="AF167" s="631">
        <f t="shared" si="60"/>
        <v>0</v>
      </c>
      <c r="AG167" s="631">
        <f t="shared" si="60"/>
        <v>0</v>
      </c>
      <c r="AH167" s="631">
        <f t="shared" si="60"/>
        <v>0</v>
      </c>
      <c r="AI167" s="132">
        <f t="shared" si="60"/>
        <v>0</v>
      </c>
    </row>
    <row r="168" spans="1:35" x14ac:dyDescent="0.2">
      <c r="A168" s="629">
        <v>5931</v>
      </c>
      <c r="B168" s="633" t="s">
        <v>37</v>
      </c>
      <c r="C168" s="631">
        <f t="shared" ref="C168:AI168" si="61">+C137-C152</f>
        <v>32807</v>
      </c>
      <c r="D168" s="631">
        <f t="shared" si="61"/>
        <v>33610</v>
      </c>
      <c r="E168" s="631">
        <f t="shared" si="61"/>
        <v>34430</v>
      </c>
      <c r="F168" s="631">
        <f t="shared" si="61"/>
        <v>35272</v>
      </c>
      <c r="G168" s="631">
        <f t="shared" si="61"/>
        <v>36134</v>
      </c>
      <c r="H168" s="631">
        <f t="shared" si="61"/>
        <v>37016</v>
      </c>
      <c r="I168" s="631">
        <f t="shared" si="61"/>
        <v>37921</v>
      </c>
      <c r="J168" s="631">
        <f t="shared" si="61"/>
        <v>38848</v>
      </c>
      <c r="K168" s="631">
        <f t="shared" si="61"/>
        <v>39797</v>
      </c>
      <c r="L168" s="631">
        <f t="shared" si="61"/>
        <v>40769</v>
      </c>
      <c r="M168" s="631">
        <f t="shared" si="61"/>
        <v>41765</v>
      </c>
      <c r="N168" s="631">
        <f t="shared" si="61"/>
        <v>42786</v>
      </c>
      <c r="O168" s="631">
        <f t="shared" si="61"/>
        <v>43832</v>
      </c>
      <c r="P168" s="631">
        <f t="shared" si="61"/>
        <v>44903</v>
      </c>
      <c r="Q168" s="631">
        <f t="shared" si="61"/>
        <v>46000</v>
      </c>
      <c r="R168" s="631">
        <f t="shared" si="61"/>
        <v>47124</v>
      </c>
      <c r="S168" s="631">
        <f t="shared" si="61"/>
        <v>48275</v>
      </c>
      <c r="T168" s="631">
        <f t="shared" si="61"/>
        <v>49455</v>
      </c>
      <c r="U168" s="631">
        <f t="shared" si="61"/>
        <v>50663</v>
      </c>
      <c r="V168" s="631">
        <f t="shared" si="61"/>
        <v>51901</v>
      </c>
      <c r="W168" s="631">
        <f t="shared" si="61"/>
        <v>53170</v>
      </c>
      <c r="X168" s="631">
        <f t="shared" si="61"/>
        <v>0</v>
      </c>
      <c r="Y168" s="631">
        <f t="shared" si="61"/>
        <v>0</v>
      </c>
      <c r="Z168" s="631">
        <f t="shared" si="61"/>
        <v>0</v>
      </c>
      <c r="AA168" s="631">
        <f t="shared" si="61"/>
        <v>0</v>
      </c>
      <c r="AB168" s="631">
        <f t="shared" si="61"/>
        <v>0</v>
      </c>
      <c r="AC168" s="631">
        <f t="shared" si="61"/>
        <v>0</v>
      </c>
      <c r="AD168" s="631">
        <f t="shared" si="61"/>
        <v>0</v>
      </c>
      <c r="AE168" s="631">
        <f t="shared" si="61"/>
        <v>0</v>
      </c>
      <c r="AF168" s="631">
        <f t="shared" si="61"/>
        <v>0</v>
      </c>
      <c r="AG168" s="631">
        <f t="shared" si="61"/>
        <v>0</v>
      </c>
      <c r="AH168" s="631">
        <f t="shared" si="61"/>
        <v>0</v>
      </c>
      <c r="AI168" s="132">
        <f t="shared" si="61"/>
        <v>0</v>
      </c>
    </row>
    <row r="169" spans="1:35" x14ac:dyDescent="0.2">
      <c r="A169" s="629">
        <v>5932</v>
      </c>
      <c r="B169" s="633" t="s">
        <v>38</v>
      </c>
      <c r="C169" s="631">
        <f t="shared" ref="C169:AI169" si="62">+C138-C153</f>
        <v>9665</v>
      </c>
      <c r="D169" s="631">
        <f t="shared" si="62"/>
        <v>10088</v>
      </c>
      <c r="E169" s="631">
        <f t="shared" si="62"/>
        <v>10530</v>
      </c>
      <c r="F169" s="631">
        <f t="shared" si="62"/>
        <v>10990</v>
      </c>
      <c r="G169" s="631">
        <f t="shared" si="62"/>
        <v>11471</v>
      </c>
      <c r="H169" s="631">
        <f t="shared" si="62"/>
        <v>11973</v>
      </c>
      <c r="I169" s="631">
        <f t="shared" si="62"/>
        <v>12497</v>
      </c>
      <c r="J169" s="631">
        <f t="shared" si="62"/>
        <v>13043</v>
      </c>
      <c r="K169" s="631">
        <f t="shared" si="62"/>
        <v>13614</v>
      </c>
      <c r="L169" s="631">
        <f t="shared" si="62"/>
        <v>14210</v>
      </c>
      <c r="M169" s="631">
        <f t="shared" si="62"/>
        <v>14831</v>
      </c>
      <c r="N169" s="631">
        <f t="shared" si="62"/>
        <v>15481</v>
      </c>
      <c r="O169" s="631">
        <f t="shared" si="62"/>
        <v>16157</v>
      </c>
      <c r="P169" s="631">
        <f t="shared" si="62"/>
        <v>16864</v>
      </c>
      <c r="Q169" s="631">
        <f t="shared" si="62"/>
        <v>17602</v>
      </c>
      <c r="R169" s="631">
        <f t="shared" si="62"/>
        <v>18373</v>
      </c>
      <c r="S169" s="631">
        <f t="shared" si="62"/>
        <v>19176</v>
      </c>
      <c r="T169" s="631">
        <f t="shared" si="62"/>
        <v>20015</v>
      </c>
      <c r="U169" s="631">
        <f t="shared" si="62"/>
        <v>20891</v>
      </c>
      <c r="V169" s="631">
        <f t="shared" si="62"/>
        <v>21805</v>
      </c>
      <c r="W169" s="631">
        <f t="shared" si="62"/>
        <v>22759</v>
      </c>
      <c r="X169" s="631">
        <f t="shared" si="62"/>
        <v>23755</v>
      </c>
      <c r="Y169" s="631">
        <f t="shared" si="62"/>
        <v>24794</v>
      </c>
      <c r="Z169" s="631">
        <f t="shared" si="62"/>
        <v>25878</v>
      </c>
      <c r="AA169" s="631">
        <f t="shared" si="62"/>
        <v>27010</v>
      </c>
      <c r="AB169" s="631">
        <f t="shared" si="62"/>
        <v>28192</v>
      </c>
      <c r="AC169" s="631">
        <f t="shared" si="62"/>
        <v>29426</v>
      </c>
      <c r="AD169" s="631">
        <f t="shared" si="62"/>
        <v>30713</v>
      </c>
      <c r="AE169" s="631">
        <f t="shared" si="62"/>
        <v>31953</v>
      </c>
      <c r="AF169" s="631">
        <f t="shared" si="62"/>
        <v>0</v>
      </c>
      <c r="AG169" s="631">
        <f t="shared" si="62"/>
        <v>0</v>
      </c>
      <c r="AH169" s="631">
        <f t="shared" si="62"/>
        <v>0</v>
      </c>
      <c r="AI169" s="132">
        <f t="shared" si="62"/>
        <v>0</v>
      </c>
    </row>
    <row r="170" spans="1:35" ht="13.5" thickBot="1" x14ac:dyDescent="0.25">
      <c r="A170" s="629">
        <v>5933</v>
      </c>
      <c r="B170" s="633" t="s">
        <v>341</v>
      </c>
      <c r="C170" s="634">
        <f t="shared" ref="C170:AI170" si="63">+C139-C154</f>
        <v>8837</v>
      </c>
      <c r="D170" s="634">
        <f t="shared" si="63"/>
        <v>9202</v>
      </c>
      <c r="E170" s="634">
        <f t="shared" si="63"/>
        <v>9581</v>
      </c>
      <c r="F170" s="634">
        <f t="shared" si="63"/>
        <v>9976</v>
      </c>
      <c r="G170" s="634">
        <f t="shared" si="63"/>
        <v>10388</v>
      </c>
      <c r="H170" s="634">
        <f t="shared" si="63"/>
        <v>10816</v>
      </c>
      <c r="I170" s="634">
        <f t="shared" si="63"/>
        <v>11262</v>
      </c>
      <c r="J170" s="634">
        <f t="shared" si="63"/>
        <v>11727</v>
      </c>
      <c r="K170" s="634">
        <f t="shared" si="63"/>
        <v>12211</v>
      </c>
      <c r="L170" s="634">
        <f t="shared" si="63"/>
        <v>12714</v>
      </c>
      <c r="M170" s="634">
        <f t="shared" si="63"/>
        <v>13238</v>
      </c>
      <c r="N170" s="634">
        <f t="shared" si="63"/>
        <v>13784</v>
      </c>
      <c r="O170" s="634">
        <f t="shared" si="63"/>
        <v>14353</v>
      </c>
      <c r="P170" s="634">
        <f t="shared" si="63"/>
        <v>14945</v>
      </c>
      <c r="Q170" s="634">
        <f t="shared" si="63"/>
        <v>15562</v>
      </c>
      <c r="R170" s="634">
        <f t="shared" si="63"/>
        <v>16204</v>
      </c>
      <c r="S170" s="634">
        <f t="shared" si="63"/>
        <v>16872</v>
      </c>
      <c r="T170" s="634">
        <f t="shared" si="63"/>
        <v>17568</v>
      </c>
      <c r="U170" s="634">
        <f t="shared" si="63"/>
        <v>18293</v>
      </c>
      <c r="V170" s="634">
        <f t="shared" si="63"/>
        <v>19048</v>
      </c>
      <c r="W170" s="634">
        <f t="shared" si="63"/>
        <v>19833</v>
      </c>
      <c r="X170" s="634">
        <f t="shared" si="63"/>
        <v>20651</v>
      </c>
      <c r="Y170" s="634">
        <f t="shared" si="63"/>
        <v>21503</v>
      </c>
      <c r="Z170" s="634">
        <f t="shared" si="63"/>
        <v>22390</v>
      </c>
      <c r="AA170" s="634">
        <f t="shared" si="63"/>
        <v>23314</v>
      </c>
      <c r="AB170" s="634">
        <f t="shared" si="63"/>
        <v>24275</v>
      </c>
      <c r="AC170" s="634">
        <f t="shared" si="63"/>
        <v>25277</v>
      </c>
      <c r="AD170" s="634">
        <f t="shared" si="63"/>
        <v>26319</v>
      </c>
      <c r="AE170" s="634">
        <f t="shared" si="63"/>
        <v>27405</v>
      </c>
      <c r="AF170" s="634">
        <f t="shared" si="63"/>
        <v>28535</v>
      </c>
      <c r="AG170" s="634">
        <f t="shared" si="63"/>
        <v>29528</v>
      </c>
      <c r="AH170" s="634">
        <f t="shared" si="63"/>
        <v>0</v>
      </c>
      <c r="AI170" s="133">
        <f t="shared" si="63"/>
        <v>0</v>
      </c>
    </row>
    <row r="171" spans="1:35" x14ac:dyDescent="0.2">
      <c r="A171" s="629"/>
      <c r="B171" s="630"/>
      <c r="C171" s="635"/>
      <c r="D171" s="635"/>
      <c r="E171" s="635"/>
      <c r="F171" s="635"/>
      <c r="G171" s="635"/>
      <c r="H171" s="635"/>
      <c r="I171" s="635"/>
      <c r="J171" s="635"/>
      <c r="K171" s="635"/>
      <c r="L171" s="635"/>
      <c r="M171" s="635"/>
      <c r="N171" s="635"/>
      <c r="O171" s="635"/>
      <c r="P171" s="635"/>
      <c r="Q171" s="635"/>
      <c r="R171" s="635"/>
      <c r="S171" s="635"/>
      <c r="T171" s="635"/>
      <c r="U171" s="635"/>
      <c r="V171" s="635"/>
      <c r="W171" s="635"/>
      <c r="X171" s="635"/>
      <c r="Y171" s="635"/>
      <c r="Z171" s="635"/>
      <c r="AA171" s="635"/>
      <c r="AB171" s="635"/>
      <c r="AC171" s="635"/>
      <c r="AD171" s="635"/>
      <c r="AE171" s="635"/>
      <c r="AF171" s="635"/>
      <c r="AG171" s="635"/>
      <c r="AH171" s="635"/>
      <c r="AI171" s="184"/>
    </row>
    <row r="172" spans="1:35" x14ac:dyDescent="0.2">
      <c r="A172" s="629">
        <v>751</v>
      </c>
      <c r="B172" s="630" t="s">
        <v>224</v>
      </c>
      <c r="C172" s="635"/>
      <c r="D172" s="635"/>
      <c r="E172" s="635"/>
      <c r="F172" s="635"/>
      <c r="G172" s="635"/>
      <c r="H172" s="635"/>
      <c r="I172" s="635"/>
      <c r="J172" s="635"/>
      <c r="K172" s="635"/>
      <c r="L172" s="635"/>
      <c r="M172" s="635"/>
      <c r="N172" s="635"/>
      <c r="O172" s="635"/>
      <c r="P172" s="635"/>
      <c r="Q172" s="635"/>
      <c r="R172" s="635"/>
      <c r="S172" s="635"/>
      <c r="T172" s="635"/>
      <c r="U172" s="635"/>
      <c r="V172" s="635"/>
      <c r="W172" s="635"/>
      <c r="X172" s="635"/>
      <c r="Y172" s="635"/>
      <c r="Z172" s="635"/>
      <c r="AA172" s="635"/>
      <c r="AB172" s="635"/>
      <c r="AC172" s="635"/>
      <c r="AD172" s="635"/>
      <c r="AE172" s="635"/>
      <c r="AF172" s="635"/>
      <c r="AG172" s="635"/>
      <c r="AH172" s="635"/>
      <c r="AI172" s="184"/>
    </row>
    <row r="173" spans="1:35" x14ac:dyDescent="0.2">
      <c r="A173" s="629">
        <v>5930</v>
      </c>
      <c r="B173" s="633" t="s">
        <v>36</v>
      </c>
      <c r="C173" s="631">
        <f t="shared" ref="C173:AI173" si="64">+C142-C157</f>
        <v>6400</v>
      </c>
      <c r="D173" s="631">
        <f t="shared" si="64"/>
        <v>5456</v>
      </c>
      <c r="E173" s="631">
        <f t="shared" si="64"/>
        <v>4861</v>
      </c>
      <c r="F173" s="631">
        <f t="shared" si="64"/>
        <v>4255</v>
      </c>
      <c r="G173" s="631">
        <f t="shared" si="64"/>
        <v>3635</v>
      </c>
      <c r="H173" s="631">
        <f t="shared" si="64"/>
        <v>3004</v>
      </c>
      <c r="I173" s="631">
        <f t="shared" si="64"/>
        <v>2359</v>
      </c>
      <c r="J173" s="631">
        <f t="shared" si="64"/>
        <v>1701</v>
      </c>
      <c r="K173" s="631">
        <f t="shared" si="64"/>
        <v>1030</v>
      </c>
      <c r="L173" s="631">
        <f t="shared" si="64"/>
        <v>346</v>
      </c>
      <c r="M173" s="631">
        <f t="shared" si="64"/>
        <v>0</v>
      </c>
      <c r="N173" s="631">
        <f t="shared" si="64"/>
        <v>0</v>
      </c>
      <c r="O173" s="631">
        <f t="shared" si="64"/>
        <v>0</v>
      </c>
      <c r="P173" s="631">
        <f t="shared" si="64"/>
        <v>0</v>
      </c>
      <c r="Q173" s="631">
        <f t="shared" si="64"/>
        <v>0</v>
      </c>
      <c r="R173" s="631">
        <f t="shared" si="64"/>
        <v>0</v>
      </c>
      <c r="S173" s="631">
        <f t="shared" si="64"/>
        <v>0</v>
      </c>
      <c r="T173" s="631">
        <f t="shared" si="64"/>
        <v>0</v>
      </c>
      <c r="U173" s="631">
        <f t="shared" si="64"/>
        <v>0</v>
      </c>
      <c r="V173" s="631">
        <f t="shared" si="64"/>
        <v>0</v>
      </c>
      <c r="W173" s="631">
        <f t="shared" si="64"/>
        <v>0</v>
      </c>
      <c r="X173" s="631">
        <f t="shared" si="64"/>
        <v>0</v>
      </c>
      <c r="Y173" s="631">
        <f t="shared" si="64"/>
        <v>0</v>
      </c>
      <c r="Z173" s="631">
        <f t="shared" si="64"/>
        <v>0</v>
      </c>
      <c r="AA173" s="631">
        <f t="shared" si="64"/>
        <v>0</v>
      </c>
      <c r="AB173" s="631">
        <f t="shared" si="64"/>
        <v>0</v>
      </c>
      <c r="AC173" s="631">
        <f t="shared" si="64"/>
        <v>0</v>
      </c>
      <c r="AD173" s="631">
        <f t="shared" si="64"/>
        <v>0</v>
      </c>
      <c r="AE173" s="631">
        <f t="shared" si="64"/>
        <v>0</v>
      </c>
      <c r="AF173" s="631">
        <f t="shared" si="64"/>
        <v>0</v>
      </c>
      <c r="AG173" s="631">
        <f t="shared" si="64"/>
        <v>0</v>
      </c>
      <c r="AH173" s="631">
        <f t="shared" si="64"/>
        <v>0</v>
      </c>
      <c r="AI173" s="132">
        <f t="shared" si="64"/>
        <v>0</v>
      </c>
    </row>
    <row r="174" spans="1:35" x14ac:dyDescent="0.2">
      <c r="A174" s="629" t="s">
        <v>599</v>
      </c>
      <c r="B174" s="633" t="s">
        <v>39</v>
      </c>
      <c r="C174" s="631">
        <f t="shared" ref="C174:AI174" si="65">+C143-C158</f>
        <v>453</v>
      </c>
      <c r="D174" s="631">
        <f t="shared" si="65"/>
        <v>410</v>
      </c>
      <c r="E174" s="631">
        <f t="shared" si="65"/>
        <v>365</v>
      </c>
      <c r="F174" s="631">
        <f t="shared" si="65"/>
        <v>319</v>
      </c>
      <c r="G174" s="631">
        <f t="shared" si="65"/>
        <v>273</v>
      </c>
      <c r="H174" s="631">
        <f t="shared" si="65"/>
        <v>226</v>
      </c>
      <c r="I174" s="631">
        <f t="shared" si="65"/>
        <v>177</v>
      </c>
      <c r="J174" s="631">
        <f t="shared" si="65"/>
        <v>128</v>
      </c>
      <c r="K174" s="631">
        <f t="shared" si="65"/>
        <v>77</v>
      </c>
      <c r="L174" s="631">
        <f t="shared" si="65"/>
        <v>266</v>
      </c>
      <c r="M174" s="631">
        <f t="shared" si="65"/>
        <v>0</v>
      </c>
      <c r="N174" s="631">
        <f t="shared" si="65"/>
        <v>0</v>
      </c>
      <c r="O174" s="631">
        <f t="shared" si="65"/>
        <v>0</v>
      </c>
      <c r="P174" s="631">
        <f t="shared" si="65"/>
        <v>0</v>
      </c>
      <c r="Q174" s="631">
        <f t="shared" si="65"/>
        <v>0</v>
      </c>
      <c r="R174" s="631">
        <f t="shared" si="65"/>
        <v>0</v>
      </c>
      <c r="S174" s="631">
        <f t="shared" si="65"/>
        <v>0</v>
      </c>
      <c r="T174" s="631">
        <f t="shared" si="65"/>
        <v>0</v>
      </c>
      <c r="U174" s="631">
        <f t="shared" si="65"/>
        <v>0</v>
      </c>
      <c r="V174" s="631">
        <f t="shared" si="65"/>
        <v>0</v>
      </c>
      <c r="W174" s="631">
        <f t="shared" si="65"/>
        <v>0</v>
      </c>
      <c r="X174" s="631">
        <f t="shared" si="65"/>
        <v>0</v>
      </c>
      <c r="Y174" s="631">
        <f t="shared" si="65"/>
        <v>0</v>
      </c>
      <c r="Z174" s="631">
        <f t="shared" si="65"/>
        <v>0</v>
      </c>
      <c r="AA174" s="631">
        <f t="shared" si="65"/>
        <v>0</v>
      </c>
      <c r="AB174" s="631">
        <f t="shared" si="65"/>
        <v>0</v>
      </c>
      <c r="AC174" s="631">
        <f t="shared" si="65"/>
        <v>0</v>
      </c>
      <c r="AD174" s="631">
        <f t="shared" si="65"/>
        <v>0</v>
      </c>
      <c r="AE174" s="631">
        <f t="shared" si="65"/>
        <v>0</v>
      </c>
      <c r="AF174" s="631">
        <f t="shared" si="65"/>
        <v>0</v>
      </c>
      <c r="AG174" s="631">
        <f t="shared" si="65"/>
        <v>0</v>
      </c>
      <c r="AH174" s="631">
        <f t="shared" si="65"/>
        <v>0</v>
      </c>
      <c r="AI174" s="132">
        <f t="shared" si="65"/>
        <v>0</v>
      </c>
    </row>
    <row r="175" spans="1:35" x14ac:dyDescent="0.2">
      <c r="A175" s="629">
        <v>5931</v>
      </c>
      <c r="B175" s="633" t="s">
        <v>37</v>
      </c>
      <c r="C175" s="631">
        <f t="shared" ref="C175:AI175" si="66">+C144-C159</f>
        <v>21081</v>
      </c>
      <c r="D175" s="631">
        <f t="shared" si="66"/>
        <v>20202</v>
      </c>
      <c r="E175" s="631">
        <f t="shared" si="66"/>
        <v>19381</v>
      </c>
      <c r="F175" s="631">
        <f t="shared" si="66"/>
        <v>18540</v>
      </c>
      <c r="G175" s="631">
        <f t="shared" si="66"/>
        <v>17678</v>
      </c>
      <c r="H175" s="631">
        <f t="shared" si="66"/>
        <v>16795</v>
      </c>
      <c r="I175" s="631">
        <f t="shared" si="66"/>
        <v>15890</v>
      </c>
      <c r="J175" s="631">
        <f t="shared" si="66"/>
        <v>14964</v>
      </c>
      <c r="K175" s="631">
        <f t="shared" si="66"/>
        <v>14015</v>
      </c>
      <c r="L175" s="631">
        <f t="shared" si="66"/>
        <v>13042</v>
      </c>
      <c r="M175" s="631">
        <f t="shared" si="66"/>
        <v>12046</v>
      </c>
      <c r="N175" s="631">
        <f t="shared" si="66"/>
        <v>11026</v>
      </c>
      <c r="O175" s="631">
        <f t="shared" si="66"/>
        <v>9980</v>
      </c>
      <c r="P175" s="631">
        <f t="shared" si="66"/>
        <v>8909</v>
      </c>
      <c r="Q175" s="631">
        <f t="shared" si="66"/>
        <v>7812</v>
      </c>
      <c r="R175" s="631">
        <f t="shared" si="66"/>
        <v>6688</v>
      </c>
      <c r="S175" s="631">
        <f t="shared" si="66"/>
        <v>5536</v>
      </c>
      <c r="T175" s="631">
        <f t="shared" si="66"/>
        <v>4357</v>
      </c>
      <c r="U175" s="631">
        <f t="shared" si="66"/>
        <v>3148</v>
      </c>
      <c r="V175" s="631">
        <f t="shared" si="66"/>
        <v>1910</v>
      </c>
      <c r="W175" s="631">
        <f t="shared" si="66"/>
        <v>642</v>
      </c>
      <c r="X175" s="631">
        <f t="shared" si="66"/>
        <v>0</v>
      </c>
      <c r="Y175" s="631">
        <f t="shared" si="66"/>
        <v>0</v>
      </c>
      <c r="Z175" s="631">
        <f t="shared" si="66"/>
        <v>0</v>
      </c>
      <c r="AA175" s="631">
        <f t="shared" si="66"/>
        <v>0</v>
      </c>
      <c r="AB175" s="631">
        <f t="shared" si="66"/>
        <v>0</v>
      </c>
      <c r="AC175" s="631">
        <f t="shared" si="66"/>
        <v>0</v>
      </c>
      <c r="AD175" s="631">
        <f t="shared" si="66"/>
        <v>0</v>
      </c>
      <c r="AE175" s="631">
        <f t="shared" si="66"/>
        <v>0</v>
      </c>
      <c r="AF175" s="631">
        <f t="shared" si="66"/>
        <v>0</v>
      </c>
      <c r="AG175" s="631">
        <f t="shared" si="66"/>
        <v>0</v>
      </c>
      <c r="AH175" s="631">
        <f t="shared" si="66"/>
        <v>0</v>
      </c>
      <c r="AI175" s="132">
        <f t="shared" si="66"/>
        <v>0</v>
      </c>
    </row>
    <row r="176" spans="1:35" x14ac:dyDescent="0.2">
      <c r="A176" s="629" t="s">
        <v>600</v>
      </c>
      <c r="B176" s="633" t="s">
        <v>40</v>
      </c>
      <c r="C176" s="631">
        <f t="shared" ref="C176:AI176" si="67">+C145-C160</f>
        <v>1306</v>
      </c>
      <c r="D176" s="631">
        <f t="shared" si="67"/>
        <v>1256</v>
      </c>
      <c r="E176" s="631">
        <f t="shared" si="67"/>
        <v>1205</v>
      </c>
      <c r="F176" s="631">
        <f t="shared" si="67"/>
        <v>1152</v>
      </c>
      <c r="G176" s="631">
        <f t="shared" si="67"/>
        <v>1099</v>
      </c>
      <c r="H176" s="631">
        <f t="shared" si="67"/>
        <v>1044</v>
      </c>
      <c r="I176" s="631">
        <f t="shared" si="67"/>
        <v>988</v>
      </c>
      <c r="J176" s="631">
        <f t="shared" si="67"/>
        <v>870</v>
      </c>
      <c r="K176" s="631">
        <f t="shared" si="67"/>
        <v>871</v>
      </c>
      <c r="L176" s="631">
        <f t="shared" si="67"/>
        <v>811</v>
      </c>
      <c r="M176" s="631">
        <f t="shared" si="67"/>
        <v>749</v>
      </c>
      <c r="N176" s="631">
        <f t="shared" si="67"/>
        <v>685</v>
      </c>
      <c r="O176" s="631">
        <f t="shared" si="67"/>
        <v>620</v>
      </c>
      <c r="P176" s="631">
        <f t="shared" si="67"/>
        <v>554</v>
      </c>
      <c r="Q176" s="631">
        <f t="shared" si="67"/>
        <v>485</v>
      </c>
      <c r="R176" s="631">
        <f t="shared" si="67"/>
        <v>416</v>
      </c>
      <c r="S176" s="631">
        <f t="shared" si="67"/>
        <v>344</v>
      </c>
      <c r="T176" s="631">
        <f t="shared" si="67"/>
        <v>271</v>
      </c>
      <c r="U176" s="631">
        <f t="shared" si="67"/>
        <v>196</v>
      </c>
      <c r="V176" s="631">
        <f t="shared" si="67"/>
        <v>119</v>
      </c>
      <c r="W176" s="631">
        <f t="shared" si="67"/>
        <v>40</v>
      </c>
      <c r="X176" s="631">
        <f t="shared" si="67"/>
        <v>0</v>
      </c>
      <c r="Y176" s="631">
        <f t="shared" si="67"/>
        <v>0</v>
      </c>
      <c r="Z176" s="631">
        <f t="shared" si="67"/>
        <v>0</v>
      </c>
      <c r="AA176" s="631">
        <f t="shared" si="67"/>
        <v>0</v>
      </c>
      <c r="AB176" s="631">
        <f t="shared" si="67"/>
        <v>0</v>
      </c>
      <c r="AC176" s="631">
        <f t="shared" si="67"/>
        <v>0</v>
      </c>
      <c r="AD176" s="631">
        <f t="shared" si="67"/>
        <v>0</v>
      </c>
      <c r="AE176" s="631">
        <f t="shared" si="67"/>
        <v>0</v>
      </c>
      <c r="AF176" s="631">
        <f t="shared" si="67"/>
        <v>0</v>
      </c>
      <c r="AG176" s="631">
        <f t="shared" si="67"/>
        <v>0</v>
      </c>
      <c r="AH176" s="631">
        <f t="shared" si="67"/>
        <v>0</v>
      </c>
      <c r="AI176" s="132">
        <f t="shared" si="67"/>
        <v>0</v>
      </c>
    </row>
    <row r="177" spans="1:35" x14ac:dyDescent="0.2">
      <c r="A177" s="629">
        <v>5932</v>
      </c>
      <c r="B177" s="633" t="s">
        <v>38</v>
      </c>
      <c r="C177" s="631">
        <f t="shared" ref="C177:AI177" si="68">+C146-C161</f>
        <v>23789</v>
      </c>
      <c r="D177" s="631">
        <f t="shared" si="68"/>
        <v>23366</v>
      </c>
      <c r="E177" s="631">
        <f t="shared" si="68"/>
        <v>22925</v>
      </c>
      <c r="F177" s="631">
        <f t="shared" si="68"/>
        <v>22465</v>
      </c>
      <c r="G177" s="631">
        <f t="shared" si="68"/>
        <v>21983</v>
      </c>
      <c r="H177" s="631">
        <f t="shared" si="68"/>
        <v>21482</v>
      </c>
      <c r="I177" s="631">
        <f t="shared" si="68"/>
        <v>20958</v>
      </c>
      <c r="J177" s="631">
        <f t="shared" si="68"/>
        <v>20411</v>
      </c>
      <c r="K177" s="631">
        <f t="shared" si="68"/>
        <v>19841</v>
      </c>
      <c r="L177" s="631">
        <f t="shared" si="68"/>
        <v>19245</v>
      </c>
      <c r="M177" s="631">
        <f t="shared" si="68"/>
        <v>18623</v>
      </c>
      <c r="N177" s="631">
        <f t="shared" si="68"/>
        <v>17974</v>
      </c>
      <c r="O177" s="631">
        <f t="shared" si="68"/>
        <v>17297</v>
      </c>
      <c r="P177" s="631">
        <f t="shared" si="68"/>
        <v>16590</v>
      </c>
      <c r="Q177" s="631">
        <f t="shared" si="68"/>
        <v>15853</v>
      </c>
      <c r="R177" s="631">
        <f t="shared" si="68"/>
        <v>15082</v>
      </c>
      <c r="S177" s="631">
        <f t="shared" si="68"/>
        <v>14279</v>
      </c>
      <c r="T177" s="631">
        <f t="shared" si="68"/>
        <v>13439</v>
      </c>
      <c r="U177" s="631">
        <f t="shared" si="68"/>
        <v>12564</v>
      </c>
      <c r="V177" s="631">
        <f t="shared" si="68"/>
        <v>11650</v>
      </c>
      <c r="W177" s="631">
        <f t="shared" si="68"/>
        <v>10696</v>
      </c>
      <c r="X177" s="631">
        <f t="shared" si="68"/>
        <v>9700</v>
      </c>
      <c r="Y177" s="631">
        <f t="shared" si="68"/>
        <v>8661</v>
      </c>
      <c r="Z177" s="631">
        <f t="shared" si="68"/>
        <v>7577</v>
      </c>
      <c r="AA177" s="631">
        <f t="shared" si="68"/>
        <v>6445</v>
      </c>
      <c r="AB177" s="631">
        <f t="shared" si="68"/>
        <v>5263</v>
      </c>
      <c r="AC177" s="631">
        <f t="shared" si="68"/>
        <v>4029</v>
      </c>
      <c r="AD177" s="631">
        <f t="shared" si="68"/>
        <v>2742</v>
      </c>
      <c r="AE177" s="631">
        <f t="shared" si="68"/>
        <v>1398</v>
      </c>
      <c r="AF177" s="631">
        <f t="shared" si="68"/>
        <v>0</v>
      </c>
      <c r="AG177" s="631">
        <f t="shared" si="68"/>
        <v>0</v>
      </c>
      <c r="AH177" s="631">
        <f t="shared" si="68"/>
        <v>0</v>
      </c>
      <c r="AI177" s="132">
        <f t="shared" si="68"/>
        <v>0</v>
      </c>
    </row>
    <row r="178" spans="1:35" ht="13.5" thickBot="1" x14ac:dyDescent="0.25">
      <c r="A178" s="629">
        <v>5933</v>
      </c>
      <c r="B178" s="633" t="s">
        <v>341</v>
      </c>
      <c r="C178" s="634">
        <f t="shared" ref="C178:AI178" si="69">+C147-C162</f>
        <v>22094</v>
      </c>
      <c r="D178" s="634">
        <f t="shared" si="69"/>
        <v>21729</v>
      </c>
      <c r="E178" s="634">
        <f t="shared" si="69"/>
        <v>21350</v>
      </c>
      <c r="F178" s="634">
        <f t="shared" si="69"/>
        <v>20954</v>
      </c>
      <c r="G178" s="634">
        <f t="shared" si="69"/>
        <v>20543</v>
      </c>
      <c r="H178" s="634">
        <f t="shared" si="69"/>
        <v>20114</v>
      </c>
      <c r="I178" s="634">
        <f t="shared" si="69"/>
        <v>19669</v>
      </c>
      <c r="J178" s="634">
        <f t="shared" si="69"/>
        <v>19204</v>
      </c>
      <c r="K178" s="634">
        <f t="shared" si="69"/>
        <v>18720</v>
      </c>
      <c r="L178" s="634">
        <f t="shared" si="69"/>
        <v>18217</v>
      </c>
      <c r="M178" s="634">
        <f t="shared" si="69"/>
        <v>17692</v>
      </c>
      <c r="N178" s="634">
        <f t="shared" si="69"/>
        <v>17146</v>
      </c>
      <c r="O178" s="634">
        <f t="shared" si="69"/>
        <v>16577</v>
      </c>
      <c r="P178" s="634">
        <f t="shared" si="69"/>
        <v>15985</v>
      </c>
      <c r="Q178" s="634">
        <f t="shared" si="69"/>
        <v>15369</v>
      </c>
      <c r="R178" s="634">
        <f t="shared" si="69"/>
        <v>14727</v>
      </c>
      <c r="S178" s="634">
        <f t="shared" si="69"/>
        <v>14059</v>
      </c>
      <c r="T178" s="634">
        <f t="shared" si="69"/>
        <v>13363</v>
      </c>
      <c r="U178" s="634">
        <f t="shared" si="69"/>
        <v>12638</v>
      </c>
      <c r="V178" s="634">
        <f t="shared" si="69"/>
        <v>11883</v>
      </c>
      <c r="W178" s="634">
        <f t="shared" si="69"/>
        <v>11098</v>
      </c>
      <c r="X178" s="634">
        <f t="shared" si="69"/>
        <v>10280</v>
      </c>
      <c r="Y178" s="634">
        <f t="shared" si="69"/>
        <v>9428</v>
      </c>
      <c r="Z178" s="634">
        <f t="shared" si="69"/>
        <v>8540</v>
      </c>
      <c r="AA178" s="634">
        <f t="shared" si="69"/>
        <v>7617</v>
      </c>
      <c r="AB178" s="634">
        <f t="shared" si="69"/>
        <v>6655</v>
      </c>
      <c r="AC178" s="634">
        <f t="shared" si="69"/>
        <v>5654</v>
      </c>
      <c r="AD178" s="634">
        <f t="shared" si="69"/>
        <v>4612</v>
      </c>
      <c r="AE178" s="634">
        <f t="shared" si="69"/>
        <v>3526</v>
      </c>
      <c r="AF178" s="634">
        <f t="shared" si="69"/>
        <v>2395</v>
      </c>
      <c r="AG178" s="634">
        <f t="shared" si="69"/>
        <v>1218</v>
      </c>
      <c r="AH178" s="634">
        <f t="shared" si="69"/>
        <v>0</v>
      </c>
      <c r="AI178" s="133">
        <f t="shared" si="69"/>
        <v>0</v>
      </c>
    </row>
    <row r="179" spans="1:35" x14ac:dyDescent="0.2">
      <c r="A179" s="629"/>
      <c r="B179" s="630"/>
      <c r="C179" s="628"/>
      <c r="D179" s="628"/>
      <c r="E179" s="628"/>
      <c r="F179" s="628"/>
      <c r="G179" s="628"/>
      <c r="H179" s="628"/>
      <c r="I179" s="628"/>
      <c r="J179" s="628"/>
      <c r="K179" s="628"/>
      <c r="L179" s="628"/>
      <c r="M179" s="628"/>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134"/>
    </row>
    <row r="180" spans="1:35" x14ac:dyDescent="0.2">
      <c r="A180" s="28"/>
      <c r="B180" s="28"/>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row>
    <row r="206" spans="2:35" x14ac:dyDescent="0.2">
      <c r="B206" t="s">
        <v>894</v>
      </c>
      <c r="C206" s="2" t="e">
        <f>+#REF!</f>
        <v>#REF!</v>
      </c>
      <c r="D206" s="2" t="e">
        <f>+#REF!</f>
        <v>#REF!</v>
      </c>
      <c r="E206" s="2" t="e">
        <f>+#REF!</f>
        <v>#REF!</v>
      </c>
      <c r="F206" s="2" t="e">
        <f>+#REF!</f>
        <v>#REF!</v>
      </c>
      <c r="G206" s="2" t="e">
        <f>+#REF!</f>
        <v>#REF!</v>
      </c>
      <c r="H206" s="2" t="e">
        <f>+#REF!</f>
        <v>#REF!</v>
      </c>
      <c r="I206" s="2" t="e">
        <f>+#REF!</f>
        <v>#REF!</v>
      </c>
      <c r="J206" s="2" t="e">
        <f>+#REF!</f>
        <v>#REF!</v>
      </c>
      <c r="K206" s="2" t="e">
        <f>+#REF!</f>
        <v>#REF!</v>
      </c>
      <c r="L206" s="2" t="e">
        <f>+#REF!</f>
        <v>#REF!</v>
      </c>
      <c r="M206" s="2" t="e">
        <f>+#REF!</f>
        <v>#REF!</v>
      </c>
      <c r="N206" s="2" t="e">
        <f>+#REF!</f>
        <v>#REF!</v>
      </c>
      <c r="O206" s="2" t="e">
        <f>+#REF!</f>
        <v>#REF!</v>
      </c>
      <c r="P206" s="2" t="e">
        <f>+#REF!</f>
        <v>#REF!</v>
      </c>
      <c r="Q206" s="2" t="e">
        <f>+#REF!</f>
        <v>#REF!</v>
      </c>
      <c r="R206" s="2" t="e">
        <f>+#REF!</f>
        <v>#REF!</v>
      </c>
      <c r="S206" s="2" t="e">
        <f>+#REF!</f>
        <v>#REF!</v>
      </c>
      <c r="T206" s="2" t="e">
        <f>+#REF!</f>
        <v>#REF!</v>
      </c>
      <c r="U206" s="2" t="e">
        <f>+#REF!</f>
        <v>#REF!</v>
      </c>
      <c r="V206" s="2" t="e">
        <f>+#REF!</f>
        <v>#REF!</v>
      </c>
      <c r="W206" s="2" t="e">
        <f>+#REF!</f>
        <v>#REF!</v>
      </c>
      <c r="X206" s="2" t="e">
        <f>+#REF!</f>
        <v>#REF!</v>
      </c>
      <c r="Y206" s="2" t="e">
        <f>+#REF!</f>
        <v>#REF!</v>
      </c>
      <c r="Z206" s="2" t="e">
        <f>+#REF!</f>
        <v>#REF!</v>
      </c>
      <c r="AA206" s="2" t="e">
        <f>+#REF!</f>
        <v>#REF!</v>
      </c>
      <c r="AB206" s="2" t="e">
        <f>+#REF!</f>
        <v>#REF!</v>
      </c>
      <c r="AC206" s="2" t="e">
        <f>+#REF!</f>
        <v>#REF!</v>
      </c>
      <c r="AD206" s="2" t="e">
        <f>+#REF!</f>
        <v>#REF!</v>
      </c>
      <c r="AE206" s="2" t="e">
        <f>+#REF!</f>
        <v>#REF!</v>
      </c>
      <c r="AF206" s="2" t="e">
        <f>+#REF!</f>
        <v>#REF!</v>
      </c>
      <c r="AG206" s="2" t="e">
        <f>+#REF!</f>
        <v>#REF!</v>
      </c>
      <c r="AH206" s="2" t="e">
        <f>+#REF!</f>
        <v>#REF!</v>
      </c>
      <c r="AI206" s="2" t="e">
        <f>+#REF!</f>
        <v>#REF!</v>
      </c>
    </row>
    <row r="207" spans="2:35" ht="15" x14ac:dyDescent="0.35">
      <c r="B207" t="s">
        <v>895</v>
      </c>
      <c r="C207" s="403" t="e">
        <f>+#REF!</f>
        <v>#REF!</v>
      </c>
      <c r="D207" s="403" t="e">
        <f>+#REF!</f>
        <v>#REF!</v>
      </c>
      <c r="E207" s="403" t="e">
        <f>+#REF!</f>
        <v>#REF!</v>
      </c>
      <c r="F207" s="403" t="e">
        <f>+#REF!</f>
        <v>#REF!</v>
      </c>
      <c r="G207" s="403" t="e">
        <f>+#REF!</f>
        <v>#REF!</v>
      </c>
      <c r="H207" s="403" t="e">
        <f>+#REF!</f>
        <v>#REF!</v>
      </c>
      <c r="I207" s="403" t="e">
        <f>+#REF!</f>
        <v>#REF!</v>
      </c>
      <c r="J207" s="403" t="e">
        <f>+#REF!</f>
        <v>#REF!</v>
      </c>
      <c r="K207" s="403" t="e">
        <f>+#REF!</f>
        <v>#REF!</v>
      </c>
      <c r="L207" s="403" t="e">
        <f>+#REF!</f>
        <v>#REF!</v>
      </c>
      <c r="M207" s="403" t="e">
        <f>+#REF!</f>
        <v>#REF!</v>
      </c>
      <c r="N207" s="403" t="e">
        <f>+#REF!</f>
        <v>#REF!</v>
      </c>
      <c r="O207" s="403" t="e">
        <f>+#REF!</f>
        <v>#REF!</v>
      </c>
      <c r="P207" s="403" t="e">
        <f>+#REF!</f>
        <v>#REF!</v>
      </c>
      <c r="Q207" s="403" t="e">
        <f>+#REF!</f>
        <v>#REF!</v>
      </c>
      <c r="R207" s="403" t="e">
        <f>+#REF!</f>
        <v>#REF!</v>
      </c>
      <c r="S207" s="403" t="e">
        <f>+#REF!</f>
        <v>#REF!</v>
      </c>
      <c r="T207" s="403" t="e">
        <f>+#REF!</f>
        <v>#REF!</v>
      </c>
      <c r="U207" s="403" t="e">
        <f>+#REF!</f>
        <v>#REF!</v>
      </c>
      <c r="V207" s="403" t="e">
        <f>+#REF!</f>
        <v>#REF!</v>
      </c>
      <c r="W207" s="403" t="e">
        <f>+#REF!</f>
        <v>#REF!</v>
      </c>
      <c r="X207" s="403" t="e">
        <f>+#REF!</f>
        <v>#REF!</v>
      </c>
      <c r="Y207" s="403" t="e">
        <f>+#REF!</f>
        <v>#REF!</v>
      </c>
      <c r="Z207" s="403" t="e">
        <f>+#REF!</f>
        <v>#REF!</v>
      </c>
      <c r="AA207" s="403" t="e">
        <f>+#REF!</f>
        <v>#REF!</v>
      </c>
      <c r="AB207" s="403" t="e">
        <f>+#REF!</f>
        <v>#REF!</v>
      </c>
      <c r="AC207" s="403" t="e">
        <f>+#REF!</f>
        <v>#REF!</v>
      </c>
      <c r="AD207" s="403" t="e">
        <f>+#REF!</f>
        <v>#REF!</v>
      </c>
      <c r="AE207" s="403" t="e">
        <f>+#REF!</f>
        <v>#REF!</v>
      </c>
      <c r="AF207" s="403" t="e">
        <f>+#REF!</f>
        <v>#REF!</v>
      </c>
      <c r="AG207" s="403" t="e">
        <f>+#REF!</f>
        <v>#REF!</v>
      </c>
      <c r="AH207" s="403" t="e">
        <f>+#REF!</f>
        <v>#REF!</v>
      </c>
      <c r="AI207" s="403" t="e">
        <f>+#REF!</f>
        <v>#REF!</v>
      </c>
    </row>
    <row r="208" spans="2:35" x14ac:dyDescent="0.2">
      <c r="B208" t="s">
        <v>175</v>
      </c>
      <c r="C208" s="2" t="e">
        <f t="shared" ref="C208:AI208" si="70">SUM(C206:C207)</f>
        <v>#REF!</v>
      </c>
      <c r="D208" s="2" t="e">
        <f t="shared" si="70"/>
        <v>#REF!</v>
      </c>
      <c r="E208" s="2" t="e">
        <f t="shared" si="70"/>
        <v>#REF!</v>
      </c>
      <c r="F208" s="2" t="e">
        <f t="shared" si="70"/>
        <v>#REF!</v>
      </c>
      <c r="G208" s="2" t="e">
        <f t="shared" si="70"/>
        <v>#REF!</v>
      </c>
      <c r="H208" s="2" t="e">
        <f t="shared" si="70"/>
        <v>#REF!</v>
      </c>
      <c r="I208" s="2" t="e">
        <f t="shared" si="70"/>
        <v>#REF!</v>
      </c>
      <c r="J208" s="2" t="e">
        <f t="shared" si="70"/>
        <v>#REF!</v>
      </c>
      <c r="K208" s="2" t="e">
        <f t="shared" si="70"/>
        <v>#REF!</v>
      </c>
      <c r="L208" s="2" t="e">
        <f t="shared" si="70"/>
        <v>#REF!</v>
      </c>
      <c r="M208" s="2" t="e">
        <f t="shared" si="70"/>
        <v>#REF!</v>
      </c>
      <c r="N208" s="2" t="e">
        <f t="shared" si="70"/>
        <v>#REF!</v>
      </c>
      <c r="O208" s="2" t="e">
        <f t="shared" si="70"/>
        <v>#REF!</v>
      </c>
      <c r="P208" s="2" t="e">
        <f t="shared" si="70"/>
        <v>#REF!</v>
      </c>
      <c r="Q208" s="2" t="e">
        <f t="shared" si="70"/>
        <v>#REF!</v>
      </c>
      <c r="R208" s="2" t="e">
        <f t="shared" si="70"/>
        <v>#REF!</v>
      </c>
      <c r="S208" s="2" t="e">
        <f t="shared" si="70"/>
        <v>#REF!</v>
      </c>
      <c r="T208" s="2" t="e">
        <f t="shared" si="70"/>
        <v>#REF!</v>
      </c>
      <c r="U208" s="2" t="e">
        <f t="shared" si="70"/>
        <v>#REF!</v>
      </c>
      <c r="V208" s="2" t="e">
        <f t="shared" si="70"/>
        <v>#REF!</v>
      </c>
      <c r="W208" s="2" t="e">
        <f t="shared" si="70"/>
        <v>#REF!</v>
      </c>
      <c r="X208" s="2" t="e">
        <f t="shared" si="70"/>
        <v>#REF!</v>
      </c>
      <c r="Y208" s="2" t="e">
        <f t="shared" si="70"/>
        <v>#REF!</v>
      </c>
      <c r="Z208" s="2" t="e">
        <f t="shared" si="70"/>
        <v>#REF!</v>
      </c>
      <c r="AA208" s="2" t="e">
        <f t="shared" si="70"/>
        <v>#REF!</v>
      </c>
      <c r="AB208" s="2" t="e">
        <f t="shared" si="70"/>
        <v>#REF!</v>
      </c>
      <c r="AC208" s="2" t="e">
        <f t="shared" si="70"/>
        <v>#REF!</v>
      </c>
      <c r="AD208" s="2" t="e">
        <f t="shared" si="70"/>
        <v>#REF!</v>
      </c>
      <c r="AE208" s="2" t="e">
        <f t="shared" si="70"/>
        <v>#REF!</v>
      </c>
      <c r="AF208" s="2" t="e">
        <f t="shared" si="70"/>
        <v>#REF!</v>
      </c>
      <c r="AG208" s="2" t="e">
        <f t="shared" si="70"/>
        <v>#REF!</v>
      </c>
      <c r="AH208" s="2" t="e">
        <f t="shared" si="70"/>
        <v>#REF!</v>
      </c>
      <c r="AI208" s="2" t="e">
        <f t="shared" si="70"/>
        <v>#REF!</v>
      </c>
    </row>
    <row r="210" spans="2:35" x14ac:dyDescent="0.2">
      <c r="B210" s="254" t="s">
        <v>896</v>
      </c>
      <c r="C210" s="2" t="e">
        <f>+C208-#REF!</f>
        <v>#REF!</v>
      </c>
      <c r="D210" s="2" t="e">
        <f>+D208-#REF!</f>
        <v>#REF!</v>
      </c>
      <c r="E210" s="2" t="e">
        <f>+E208-#REF!</f>
        <v>#REF!</v>
      </c>
      <c r="F210" s="2" t="e">
        <f>+F208-#REF!</f>
        <v>#REF!</v>
      </c>
      <c r="G210" s="2" t="e">
        <f>+G208-#REF!</f>
        <v>#REF!</v>
      </c>
      <c r="H210" s="2" t="e">
        <f>+H208-#REF!</f>
        <v>#REF!</v>
      </c>
      <c r="I210" s="2" t="e">
        <f>+I208-#REF!</f>
        <v>#REF!</v>
      </c>
      <c r="J210" s="2" t="e">
        <f>+J208-#REF!</f>
        <v>#REF!</v>
      </c>
      <c r="K210" s="2" t="e">
        <f>+K208-#REF!</f>
        <v>#REF!</v>
      </c>
      <c r="L210" s="2" t="e">
        <f>+L208-#REF!</f>
        <v>#REF!</v>
      </c>
      <c r="M210" s="2" t="e">
        <f>+M208-#REF!</f>
        <v>#REF!</v>
      </c>
      <c r="N210" s="2" t="e">
        <f>+N208-#REF!</f>
        <v>#REF!</v>
      </c>
      <c r="O210" s="2" t="e">
        <f>+O208-#REF!</f>
        <v>#REF!</v>
      </c>
      <c r="P210" s="2" t="e">
        <f>+P208-#REF!</f>
        <v>#REF!</v>
      </c>
      <c r="Q210" s="2" t="e">
        <f>+Q208-#REF!</f>
        <v>#REF!</v>
      </c>
      <c r="R210" s="2" t="e">
        <f>+R208-#REF!</f>
        <v>#REF!</v>
      </c>
      <c r="S210" s="2" t="e">
        <f>+S208-#REF!</f>
        <v>#REF!</v>
      </c>
      <c r="T210" s="2" t="e">
        <f>+T208-#REF!</f>
        <v>#REF!</v>
      </c>
      <c r="U210" s="2" t="e">
        <f>+U208-#REF!</f>
        <v>#REF!</v>
      </c>
      <c r="V210" s="2" t="e">
        <f>+V208-#REF!</f>
        <v>#REF!</v>
      </c>
      <c r="W210" s="2" t="e">
        <f>+W208-#REF!</f>
        <v>#REF!</v>
      </c>
      <c r="X210" s="2" t="e">
        <f>+X208-#REF!</f>
        <v>#REF!</v>
      </c>
      <c r="Y210" s="2" t="e">
        <f>+Y208-#REF!</f>
        <v>#REF!</v>
      </c>
      <c r="Z210" s="2" t="e">
        <f>+Z208-#REF!</f>
        <v>#REF!</v>
      </c>
      <c r="AA210" s="2" t="e">
        <f>+AA208-#REF!</f>
        <v>#REF!</v>
      </c>
      <c r="AB210" s="2" t="e">
        <f>+AB208-#REF!</f>
        <v>#REF!</v>
      </c>
      <c r="AC210" s="2" t="e">
        <f>+AC208-#REF!</f>
        <v>#REF!</v>
      </c>
      <c r="AD210" s="2" t="e">
        <f>+AD208-#REF!</f>
        <v>#REF!</v>
      </c>
      <c r="AE210" s="2" t="e">
        <f>+AE208-#REF!</f>
        <v>#REF!</v>
      </c>
      <c r="AF210" s="2" t="e">
        <f>+AF208-#REF!</f>
        <v>#REF!</v>
      </c>
      <c r="AG210" s="2" t="e">
        <f>+AG208-#REF!</f>
        <v>#REF!</v>
      </c>
      <c r="AH210" s="2" t="e">
        <f>+AH208-#REF!</f>
        <v>#REF!</v>
      </c>
      <c r="AI210" s="2" t="e">
        <f>+AI208-#REF!</f>
        <v>#REF!</v>
      </c>
    </row>
  </sheetData>
  <hyperlinks>
    <hyperlink ref="A1" location="'Table of Contents'!A1" display="TOC"/>
  </hyperlinks>
  <pageMargins left="0.7" right="0.7" top="0.75" bottom="0.75" header="0.3" footer="0.3"/>
  <pageSetup orientation="portrait" r:id="rId1"/>
  <headerFooter>
    <oddFooter>&amp;L&amp;D &amp;T&amp;C&amp;F&amp;R&amp;A &amp;P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21"/>
  <sheetViews>
    <sheetView topLeftCell="A97" zoomScaleNormal="100" workbookViewId="0">
      <selection activeCell="G70" sqref="G70:I72"/>
    </sheetView>
  </sheetViews>
  <sheetFormatPr defaultRowHeight="12.75" x14ac:dyDescent="0.2"/>
  <cols>
    <col min="1" max="1" width="3.83203125" style="4" customWidth="1"/>
    <col min="2" max="2" width="34.5" style="4" customWidth="1"/>
    <col min="3" max="3" width="6.1640625" style="4" customWidth="1"/>
    <col min="4" max="4" width="15.1640625" style="4" bestFit="1" customWidth="1"/>
    <col min="5" max="5" width="14.6640625" style="4" customWidth="1"/>
    <col min="6" max="6" width="4.6640625" style="4" customWidth="1"/>
    <col min="7" max="7" width="30.6640625" customWidth="1"/>
    <col min="8" max="8" width="6.33203125" customWidth="1"/>
    <col min="9" max="9" width="14.33203125" customWidth="1"/>
    <col min="10" max="10" width="13.83203125" customWidth="1"/>
  </cols>
  <sheetData>
    <row r="1" spans="1:9" x14ac:dyDescent="0.2">
      <c r="A1" s="884" t="s">
        <v>972</v>
      </c>
      <c r="B1" s="884"/>
      <c r="C1" s="884"/>
      <c r="D1" s="884"/>
      <c r="E1" s="884"/>
      <c r="F1" s="884"/>
    </row>
    <row r="3" spans="1:9" ht="15" x14ac:dyDescent="0.25">
      <c r="D3" s="754" t="s">
        <v>900</v>
      </c>
      <c r="G3" s="256"/>
      <c r="H3" s="256"/>
      <c r="I3" s="257"/>
    </row>
    <row r="4" spans="1:9" ht="15" x14ac:dyDescent="0.25">
      <c r="B4" s="755" t="s">
        <v>614</v>
      </c>
      <c r="C4" s="755" t="s">
        <v>936</v>
      </c>
      <c r="D4" s="756" t="s">
        <v>656</v>
      </c>
      <c r="G4" s="258"/>
      <c r="H4" s="258"/>
      <c r="I4" s="259"/>
    </row>
    <row r="5" spans="1:9" x14ac:dyDescent="0.2">
      <c r="A5" s="85" t="s">
        <v>1662</v>
      </c>
      <c r="B5" s="85"/>
      <c r="C5" s="85"/>
    </row>
    <row r="6" spans="1:9" x14ac:dyDescent="0.2">
      <c r="B6" s="4" t="s">
        <v>375</v>
      </c>
      <c r="C6" s="85">
        <v>11</v>
      </c>
      <c r="D6" s="181">
        <f>+'122 Selectboard'!K42</f>
        <v>115934</v>
      </c>
    </row>
    <row r="7" spans="1:9" x14ac:dyDescent="0.2">
      <c r="B7" s="4" t="s">
        <v>950</v>
      </c>
      <c r="C7" s="85">
        <v>11</v>
      </c>
      <c r="D7" s="181">
        <f>+'122 Selectboard'!K43</f>
        <v>51234.57</v>
      </c>
    </row>
    <row r="9" spans="1:9" x14ac:dyDescent="0.2">
      <c r="A9" s="85" t="s">
        <v>376</v>
      </c>
    </row>
    <row r="10" spans="1:9" x14ac:dyDescent="0.2">
      <c r="B10" s="4" t="s">
        <v>376</v>
      </c>
      <c r="C10" s="85">
        <v>11</v>
      </c>
      <c r="D10" s="181">
        <f>+'135 Acct'!K31</f>
        <v>75014</v>
      </c>
    </row>
    <row r="12" spans="1:9" x14ac:dyDescent="0.2">
      <c r="A12" s="85" t="s">
        <v>615</v>
      </c>
    </row>
    <row r="13" spans="1:9" x14ac:dyDescent="0.2">
      <c r="B13" s="4" t="s">
        <v>102</v>
      </c>
      <c r="C13" s="4">
        <v>10</v>
      </c>
      <c r="D13" s="181">
        <f>+'141 BOA'!K46</f>
        <v>73184</v>
      </c>
    </row>
    <row r="14" spans="1:9" x14ac:dyDescent="0.2">
      <c r="B14" s="4" t="s">
        <v>544</v>
      </c>
      <c r="C14" s="4">
        <v>10</v>
      </c>
      <c r="D14" s="181">
        <f>+'141 BOA'!K47</f>
        <v>39495.599999999999</v>
      </c>
    </row>
    <row r="15" spans="1:9" x14ac:dyDescent="0.2">
      <c r="B15" s="4" t="s">
        <v>699</v>
      </c>
      <c r="C15" s="4">
        <v>8</v>
      </c>
      <c r="D15" s="181">
        <f>+'141 BOA'!K48</f>
        <v>37941.379999999997</v>
      </c>
    </row>
    <row r="17" spans="1:5" x14ac:dyDescent="0.2">
      <c r="A17" s="85" t="s">
        <v>616</v>
      </c>
    </row>
    <row r="18" spans="1:5" x14ac:dyDescent="0.2">
      <c r="B18" s="4" t="s">
        <v>616</v>
      </c>
      <c r="C18" s="102">
        <v>7</v>
      </c>
      <c r="D18" s="181">
        <f>+'145 Treas'!K41+'145 Treas'!K42</f>
        <v>68963</v>
      </c>
    </row>
    <row r="19" spans="1:5" x14ac:dyDescent="0.2">
      <c r="B19" s="4" t="s">
        <v>617</v>
      </c>
      <c r="C19" s="85">
        <v>11</v>
      </c>
      <c r="D19" s="181">
        <f>+'145 Treas'!K43</f>
        <v>18221.22</v>
      </c>
      <c r="E19" s="4" t="s">
        <v>1663</v>
      </c>
    </row>
    <row r="20" spans="1:5" x14ac:dyDescent="0.2">
      <c r="B20" s="4" t="s">
        <v>617</v>
      </c>
      <c r="C20" s="85">
        <v>11</v>
      </c>
      <c r="D20" s="181">
        <f>+'145 Treas'!K45</f>
        <v>40482.99</v>
      </c>
    </row>
    <row r="21" spans="1:5" x14ac:dyDescent="0.2">
      <c r="B21" s="4" t="s">
        <v>617</v>
      </c>
      <c r="C21" s="4">
        <v>8</v>
      </c>
      <c r="D21" s="181">
        <f>+'145 Treas'!K44+'145 Treas'!K46</f>
        <v>39637.5</v>
      </c>
      <c r="E21" s="4" t="s">
        <v>1665</v>
      </c>
    </row>
    <row r="22" spans="1:5" x14ac:dyDescent="0.2">
      <c r="B22" s="4" t="s">
        <v>617</v>
      </c>
      <c r="C22" s="4">
        <v>2</v>
      </c>
      <c r="D22" s="181">
        <f>+'145 Treas'!K46</f>
        <v>13492.5</v>
      </c>
      <c r="E22" s="4" t="s">
        <v>1664</v>
      </c>
    </row>
    <row r="23" spans="1:5" x14ac:dyDescent="0.2">
      <c r="D23" s="181"/>
    </row>
    <row r="24" spans="1:5" x14ac:dyDescent="0.2">
      <c r="A24" s="85" t="s">
        <v>378</v>
      </c>
    </row>
    <row r="25" spans="1:5" x14ac:dyDescent="0.2">
      <c r="B25" s="4" t="s">
        <v>378</v>
      </c>
      <c r="C25" s="85">
        <v>11</v>
      </c>
      <c r="D25" s="181">
        <f>+'161 Clerk'!K43+'161 Clerk'!K44+'161 Clerk'!K45</f>
        <v>76854</v>
      </c>
      <c r="E25" s="4" t="s">
        <v>1281</v>
      </c>
    </row>
    <row r="26" spans="1:5" x14ac:dyDescent="0.2">
      <c r="B26" s="4" t="s">
        <v>377</v>
      </c>
      <c r="C26" s="85">
        <v>11</v>
      </c>
      <c r="D26" s="181">
        <f>+'161 Clerk'!K46</f>
        <v>43536.59</v>
      </c>
    </row>
    <row r="28" spans="1:5" x14ac:dyDescent="0.2">
      <c r="A28" s="85" t="s">
        <v>618</v>
      </c>
    </row>
    <row r="29" spans="1:5" x14ac:dyDescent="0.2">
      <c r="B29" s="4" t="s">
        <v>619</v>
      </c>
      <c r="C29" s="4">
        <v>8</v>
      </c>
      <c r="D29" s="181">
        <f>+'175 Planning'!K36</f>
        <v>70341</v>
      </c>
    </row>
    <row r="30" spans="1:5" x14ac:dyDescent="0.2">
      <c r="B30" s="4" t="s">
        <v>1567</v>
      </c>
      <c r="C30" s="4">
        <v>3</v>
      </c>
      <c r="D30" s="181">
        <f>+'175 Planning'!K46</f>
        <v>42695.48</v>
      </c>
    </row>
    <row r="32" spans="1:5" x14ac:dyDescent="0.2">
      <c r="A32" s="85" t="s">
        <v>626</v>
      </c>
    </row>
    <row r="33" spans="2:11" x14ac:dyDescent="0.2">
      <c r="B33" s="4" t="s">
        <v>620</v>
      </c>
      <c r="C33" s="4">
        <v>6</v>
      </c>
      <c r="D33" s="181">
        <f>+'211 Police'!M65+'211 Police'!K65</f>
        <v>113434.8</v>
      </c>
    </row>
    <row r="34" spans="2:11" x14ac:dyDescent="0.2">
      <c r="B34" s="4" t="s">
        <v>1197</v>
      </c>
      <c r="C34" s="4">
        <v>10</v>
      </c>
      <c r="D34" s="181">
        <f>+'211 Police'!M66+'211 Police'!K66</f>
        <v>92698.847999999998</v>
      </c>
    </row>
    <row r="35" spans="2:11" x14ac:dyDescent="0.2">
      <c r="B35" s="4" t="s">
        <v>621</v>
      </c>
      <c r="C35" s="85">
        <v>5</v>
      </c>
      <c r="D35" s="181">
        <f>+'211 Police'!M67+'211 Police'!K67</f>
        <v>84227.824999999997</v>
      </c>
    </row>
    <row r="36" spans="2:11" x14ac:dyDescent="0.2">
      <c r="B36" s="4" t="s">
        <v>622</v>
      </c>
      <c r="C36" s="85">
        <v>5</v>
      </c>
      <c r="D36" s="181">
        <f>+'211 Police'!M68+'211 Police'!K68</f>
        <v>82736.7</v>
      </c>
    </row>
    <row r="37" spans="2:11" x14ac:dyDescent="0.2">
      <c r="B37" s="4" t="s">
        <v>622</v>
      </c>
      <c r="C37" s="85">
        <v>5</v>
      </c>
      <c r="D37" s="181">
        <f>+'211 Police'!M69+'211 Police'!K69</f>
        <v>75841.975000000006</v>
      </c>
    </row>
    <row r="38" spans="2:11" x14ac:dyDescent="0.2">
      <c r="B38" s="4" t="s">
        <v>622</v>
      </c>
      <c r="C38" s="85">
        <v>5</v>
      </c>
      <c r="D38" s="181">
        <f>+'211 Police'!M70+'211 Police'!K70</f>
        <v>68947.25</v>
      </c>
    </row>
    <row r="39" spans="2:11" x14ac:dyDescent="0.2">
      <c r="B39" s="4" t="s">
        <v>623</v>
      </c>
      <c r="C39" s="440">
        <v>8</v>
      </c>
      <c r="D39" s="181">
        <f>+'211 Police'!M71+'211 Police'!K71</f>
        <v>63067.675000000003</v>
      </c>
    </row>
    <row r="40" spans="2:11" x14ac:dyDescent="0.2">
      <c r="B40" s="4" t="s">
        <v>623</v>
      </c>
      <c r="C40" s="4">
        <v>7</v>
      </c>
      <c r="D40" s="181">
        <f>+'211 Police'!M72+'211 Police'!K72</f>
        <v>63067.675000000003</v>
      </c>
      <c r="K40" s="87"/>
    </row>
    <row r="41" spans="2:11" x14ac:dyDescent="0.2">
      <c r="B41" s="4" t="s">
        <v>624</v>
      </c>
      <c r="C41" s="4">
        <v>5</v>
      </c>
      <c r="D41" s="181">
        <f>+'211 Police'!M73+'211 Police'!K73+1980</f>
        <v>61605.25</v>
      </c>
      <c r="E41" s="4" t="s">
        <v>1281</v>
      </c>
      <c r="K41" s="87"/>
    </row>
    <row r="42" spans="2:11" x14ac:dyDescent="0.2">
      <c r="B42" s="4" t="s">
        <v>625</v>
      </c>
      <c r="C42" s="4">
        <v>5</v>
      </c>
      <c r="D42" s="181">
        <f>+'211 Police'!M74+'211 Police'!K74</f>
        <v>58331.625</v>
      </c>
    </row>
    <row r="43" spans="2:11" x14ac:dyDescent="0.2">
      <c r="B43" s="4" t="s">
        <v>625</v>
      </c>
      <c r="C43" s="4">
        <v>4</v>
      </c>
      <c r="D43" s="181">
        <f>+'211 Police'!M76+'211 Police'!K76</f>
        <v>61193.4</v>
      </c>
    </row>
    <row r="44" spans="2:11" x14ac:dyDescent="0.2">
      <c r="B44" s="4" t="s">
        <v>625</v>
      </c>
      <c r="C44" s="4">
        <v>6</v>
      </c>
      <c r="D44" s="181">
        <f>+'211 Police'!M78+'211 Police'!K78</f>
        <v>55161.75</v>
      </c>
    </row>
    <row r="45" spans="2:11" x14ac:dyDescent="0.2">
      <c r="B45" s="4" t="s">
        <v>625</v>
      </c>
      <c r="C45" s="4">
        <v>6</v>
      </c>
      <c r="D45" s="181">
        <f>+'211 Police'!M79+'211 Police'!K79</f>
        <v>55161.75</v>
      </c>
    </row>
    <row r="46" spans="2:11" x14ac:dyDescent="0.2">
      <c r="B46" s="4" t="s">
        <v>625</v>
      </c>
      <c r="C46" s="4">
        <v>3</v>
      </c>
      <c r="D46" s="181">
        <f>+'211 Police'!M80+'211 Police'!K80</f>
        <v>53921.45</v>
      </c>
      <c r="E46" s="181"/>
    </row>
    <row r="47" spans="2:11" x14ac:dyDescent="0.2">
      <c r="B47" s="4" t="s">
        <v>625</v>
      </c>
      <c r="C47" s="4">
        <v>2</v>
      </c>
      <c r="D47" s="181">
        <f>+'211 Police'!M81+'211 Police'!K81</f>
        <v>47123.5</v>
      </c>
      <c r="E47" s="181"/>
    </row>
    <row r="48" spans="2:11" x14ac:dyDescent="0.2">
      <c r="B48" s="4" t="s">
        <v>768</v>
      </c>
      <c r="C48" s="85">
        <v>8</v>
      </c>
      <c r="D48" s="181">
        <f>+'211 Police'!M75+'211 Police'!K75</f>
        <v>59625.25</v>
      </c>
      <c r="E48" s="181"/>
    </row>
    <row r="49" spans="1:5" x14ac:dyDescent="0.2">
      <c r="B49" s="4" t="s">
        <v>768</v>
      </c>
      <c r="C49" s="85">
        <v>8</v>
      </c>
      <c r="D49" s="181">
        <f>+'211 Police'!M77+'211 Police'!K77</f>
        <v>59625.25</v>
      </c>
      <c r="E49" s="181"/>
    </row>
    <row r="50" spans="1:5" x14ac:dyDescent="0.2">
      <c r="B50" s="4" t="s">
        <v>380</v>
      </c>
      <c r="C50" s="4">
        <v>7</v>
      </c>
      <c r="D50" s="181">
        <f>+'211 Police'!K83</f>
        <v>14034.3</v>
      </c>
      <c r="E50" s="4" t="s">
        <v>1198</v>
      </c>
    </row>
    <row r="51" spans="1:5" x14ac:dyDescent="0.2">
      <c r="D51" s="181"/>
    </row>
    <row r="52" spans="1:5" x14ac:dyDescent="0.2">
      <c r="B52" s="4" t="s">
        <v>627</v>
      </c>
    </row>
    <row r="53" spans="1:5" x14ac:dyDescent="0.2">
      <c r="E53" s="181"/>
    </row>
    <row r="54" spans="1:5" x14ac:dyDescent="0.2">
      <c r="A54" s="85" t="s">
        <v>628</v>
      </c>
    </row>
    <row r="55" spans="1:5" x14ac:dyDescent="0.2">
      <c r="B55" s="28" t="s">
        <v>629</v>
      </c>
      <c r="C55" s="28">
        <v>9</v>
      </c>
      <c r="D55" s="181">
        <f>+'212 Dispatch'!K36</f>
        <v>55979.28</v>
      </c>
    </row>
    <row r="56" spans="1:5" x14ac:dyDescent="0.2">
      <c r="B56" s="28" t="s">
        <v>630</v>
      </c>
      <c r="C56" s="28">
        <v>10</v>
      </c>
      <c r="D56" s="181">
        <f>+'212 Dispatch'!K37</f>
        <v>42660</v>
      </c>
    </row>
    <row r="57" spans="1:5" x14ac:dyDescent="0.2">
      <c r="B57" s="28" t="s">
        <v>630</v>
      </c>
      <c r="C57" s="161">
        <v>5</v>
      </c>
      <c r="D57" s="221">
        <f>+'212 Dispatch'!K38</f>
        <v>38255.75</v>
      </c>
    </row>
    <row r="58" spans="1:5" x14ac:dyDescent="0.2">
      <c r="B58" s="28" t="s">
        <v>630</v>
      </c>
      <c r="C58" s="161">
        <v>9</v>
      </c>
      <c r="D58" s="221">
        <f>+'212 Dispatch'!K39</f>
        <v>41830.5</v>
      </c>
    </row>
    <row r="59" spans="1:5" x14ac:dyDescent="0.2">
      <c r="B59" s="28" t="s">
        <v>630</v>
      </c>
      <c r="C59" s="161">
        <v>3</v>
      </c>
      <c r="D59" s="221">
        <f>+'212 Dispatch'!K40</f>
        <v>36399.25</v>
      </c>
    </row>
    <row r="60" spans="1:5" x14ac:dyDescent="0.2">
      <c r="B60" s="28"/>
      <c r="C60" s="28"/>
    </row>
    <row r="61" spans="1:5" x14ac:dyDescent="0.2">
      <c r="A61" s="85" t="s">
        <v>379</v>
      </c>
    </row>
    <row r="62" spans="1:5" x14ac:dyDescent="0.2">
      <c r="B62" s="4" t="s">
        <v>631</v>
      </c>
      <c r="C62" s="4">
        <v>8</v>
      </c>
      <c r="D62" s="181">
        <f>+'241 Bldg'!K41</f>
        <v>70341</v>
      </c>
    </row>
    <row r="63" spans="1:5" x14ac:dyDescent="0.2">
      <c r="B63" s="4" t="s">
        <v>951</v>
      </c>
      <c r="C63" s="85">
        <v>11</v>
      </c>
      <c r="D63" s="181">
        <f>+'241 Bldg'!K42</f>
        <v>40482.99</v>
      </c>
    </row>
    <row r="65" spans="1:9" x14ac:dyDescent="0.2">
      <c r="A65" s="85" t="s">
        <v>632</v>
      </c>
    </row>
    <row r="66" spans="1:9" x14ac:dyDescent="0.2">
      <c r="B66" s="28" t="s">
        <v>633</v>
      </c>
      <c r="C66" s="90">
        <v>11</v>
      </c>
      <c r="D66" s="181">
        <f>+'420 DPW'!K69</f>
        <v>95813</v>
      </c>
    </row>
    <row r="67" spans="1:9" x14ac:dyDescent="0.2">
      <c r="B67" s="28" t="s">
        <v>634</v>
      </c>
      <c r="C67" s="90">
        <v>11</v>
      </c>
      <c r="D67" s="181">
        <f>+'420 DPW'!K70</f>
        <v>58561.8</v>
      </c>
    </row>
    <row r="68" spans="1:9" x14ac:dyDescent="0.2">
      <c r="B68" s="28" t="s">
        <v>635</v>
      </c>
      <c r="C68" s="28">
        <v>4</v>
      </c>
      <c r="D68" s="181">
        <f>+'420 DPW'!K71</f>
        <v>60568.2</v>
      </c>
      <c r="I68" s="74"/>
    </row>
    <row r="69" spans="1:9" x14ac:dyDescent="0.2">
      <c r="B69" s="28" t="s">
        <v>636</v>
      </c>
      <c r="C69" s="28">
        <v>3</v>
      </c>
      <c r="D69" s="181">
        <f>+'420 DPW'!K72</f>
        <v>48801.5</v>
      </c>
    </row>
    <row r="70" spans="1:9" x14ac:dyDescent="0.2">
      <c r="B70" s="28" t="s">
        <v>728</v>
      </c>
      <c r="C70" s="28">
        <v>3</v>
      </c>
      <c r="D70" s="181">
        <f>+'420 DPW'!K73</f>
        <v>45415.7</v>
      </c>
      <c r="G70" s="254"/>
    </row>
    <row r="71" spans="1:9" x14ac:dyDescent="0.2">
      <c r="B71" s="28" t="s">
        <v>637</v>
      </c>
      <c r="C71" s="28">
        <v>8</v>
      </c>
      <c r="D71" s="181">
        <f>+'420 DPW'!K74</f>
        <v>46920.5</v>
      </c>
      <c r="G71" s="254"/>
      <c r="I71" s="406"/>
    </row>
    <row r="72" spans="1:9" x14ac:dyDescent="0.2">
      <c r="B72" s="28" t="s">
        <v>637</v>
      </c>
      <c r="C72" s="161">
        <v>5</v>
      </c>
      <c r="D72" s="181">
        <f>+'420 DPW'!K75</f>
        <v>43743.7</v>
      </c>
      <c r="G72" s="254"/>
      <c r="I72" s="406"/>
    </row>
    <row r="73" spans="1:9" x14ac:dyDescent="0.2">
      <c r="B73" s="28" t="s">
        <v>638</v>
      </c>
      <c r="C73" s="28">
        <v>5</v>
      </c>
      <c r="D73" s="181">
        <f>+'420 DPW'!K76</f>
        <v>34464.1</v>
      </c>
    </row>
    <row r="74" spans="1:9" x14ac:dyDescent="0.2">
      <c r="B74" s="28" t="s">
        <v>1282</v>
      </c>
      <c r="C74" s="90">
        <v>10</v>
      </c>
      <c r="D74" s="181">
        <f>+'420 DPW'!K78</f>
        <v>53190.5</v>
      </c>
    </row>
    <row r="75" spans="1:9" x14ac:dyDescent="0.2">
      <c r="B75" s="28" t="s">
        <v>639</v>
      </c>
      <c r="C75" s="28">
        <v>6</v>
      </c>
      <c r="D75" s="181">
        <f>+'420 DPW'!K77</f>
        <v>44893.2</v>
      </c>
    </row>
    <row r="76" spans="1:9" x14ac:dyDescent="0.2">
      <c r="B76" s="161" t="s">
        <v>639</v>
      </c>
      <c r="C76" s="161">
        <v>8</v>
      </c>
      <c r="D76" s="181">
        <f>+'420 DPW'!K79</f>
        <v>46920.5</v>
      </c>
    </row>
    <row r="77" spans="1:9" x14ac:dyDescent="0.2">
      <c r="B77" s="28" t="s">
        <v>1038</v>
      </c>
      <c r="C77" s="28">
        <v>5</v>
      </c>
      <c r="D77" s="181">
        <f>+'420 DPW'!K80</f>
        <v>12235.58</v>
      </c>
      <c r="E77" s="4" t="s">
        <v>1199</v>
      </c>
    </row>
    <row r="78" spans="1:9" x14ac:dyDescent="0.2">
      <c r="B78" s="28" t="s">
        <v>640</v>
      </c>
      <c r="C78" s="161">
        <v>2</v>
      </c>
      <c r="D78" s="221">
        <f>+'420 DPW'!K81</f>
        <v>44287.1</v>
      </c>
    </row>
    <row r="79" spans="1:9" x14ac:dyDescent="0.2">
      <c r="B79" s="28" t="s">
        <v>640</v>
      </c>
      <c r="C79" s="28">
        <v>3</v>
      </c>
      <c r="D79" s="181">
        <f>+'420 DPW'!K83</f>
        <v>45415.7</v>
      </c>
    </row>
    <row r="80" spans="1:9" x14ac:dyDescent="0.2">
      <c r="B80" s="28" t="s">
        <v>640</v>
      </c>
      <c r="C80" s="28">
        <v>2</v>
      </c>
      <c r="D80" s="181">
        <f>+'420 DPW'!K82</f>
        <v>44287.1</v>
      </c>
    </row>
    <row r="81" spans="1:5" x14ac:dyDescent="0.2">
      <c r="B81" s="28" t="s">
        <v>641</v>
      </c>
      <c r="C81" s="28">
        <v>3</v>
      </c>
      <c r="D81" s="181">
        <f>+'420 DPW'!K84</f>
        <v>40650.5</v>
      </c>
    </row>
    <row r="82" spans="1:5" x14ac:dyDescent="0.2">
      <c r="B82" s="28" t="s">
        <v>642</v>
      </c>
      <c r="C82" s="28">
        <v>2</v>
      </c>
      <c r="D82" s="181">
        <f>+'420 DPW'!K85</f>
        <v>40650.5</v>
      </c>
    </row>
    <row r="83" spans="1:5" x14ac:dyDescent="0.2">
      <c r="A83" s="181"/>
      <c r="B83" s="28" t="s">
        <v>643</v>
      </c>
      <c r="C83" s="28">
        <v>2</v>
      </c>
      <c r="D83" s="181">
        <f>+'420 DPW'!K86</f>
        <v>40650.5</v>
      </c>
      <c r="E83" s="181"/>
    </row>
    <row r="84" spans="1:5" x14ac:dyDescent="0.2">
      <c r="A84" s="181"/>
      <c r="B84" s="28" t="s">
        <v>642</v>
      </c>
      <c r="C84" s="28">
        <v>8</v>
      </c>
      <c r="D84" s="181">
        <f>+'420 DPW'!K87</f>
        <v>46920.5</v>
      </c>
      <c r="E84" s="181"/>
    </row>
    <row r="85" spans="1:5" x14ac:dyDescent="0.2">
      <c r="A85" s="181"/>
      <c r="B85" s="28" t="s">
        <v>641</v>
      </c>
      <c r="C85" s="28">
        <v>3</v>
      </c>
      <c r="D85" s="181">
        <f>+'420 DPW'!K88</f>
        <v>41653.699999999997</v>
      </c>
      <c r="E85" s="181"/>
    </row>
    <row r="86" spans="1:5" x14ac:dyDescent="0.2">
      <c r="D86" s="181"/>
    </row>
    <row r="87" spans="1:5" x14ac:dyDescent="0.2">
      <c r="A87" s="85" t="s">
        <v>644</v>
      </c>
    </row>
    <row r="88" spans="1:5" x14ac:dyDescent="0.2">
      <c r="B88" s="4" t="s">
        <v>559</v>
      </c>
      <c r="C88" s="4">
        <v>6</v>
      </c>
      <c r="D88" s="181">
        <f>+'511 BOH'!K45</f>
        <v>67610</v>
      </c>
    </row>
    <row r="89" spans="1:5" x14ac:dyDescent="0.2">
      <c r="B89" s="4" t="s">
        <v>951</v>
      </c>
      <c r="C89" s="4">
        <v>8</v>
      </c>
      <c r="D89" s="181">
        <f>+'511 BOH'!K46</f>
        <v>37941.379999999997</v>
      </c>
    </row>
    <row r="91" spans="1:5" x14ac:dyDescent="0.2">
      <c r="A91" s="85" t="s">
        <v>645</v>
      </c>
    </row>
    <row r="92" spans="1:5" x14ac:dyDescent="0.2">
      <c r="B92" s="4" t="s">
        <v>646</v>
      </c>
      <c r="C92" s="4">
        <v>8</v>
      </c>
      <c r="D92" s="181">
        <f>+'541 COA'!K32</f>
        <v>32335.279999999999</v>
      </c>
      <c r="E92" s="4" t="s">
        <v>651</v>
      </c>
    </row>
    <row r="94" spans="1:5" x14ac:dyDescent="0.2">
      <c r="A94" s="85" t="s">
        <v>647</v>
      </c>
    </row>
    <row r="95" spans="1:5" x14ac:dyDescent="0.2">
      <c r="B95" s="28" t="s">
        <v>383</v>
      </c>
      <c r="C95" s="28">
        <v>9</v>
      </c>
      <c r="D95" s="181">
        <f>+'610 Library'!K51</f>
        <v>71748</v>
      </c>
    </row>
    <row r="96" spans="1:5" x14ac:dyDescent="0.2">
      <c r="B96" s="28" t="s">
        <v>382</v>
      </c>
      <c r="C96" s="28">
        <v>8</v>
      </c>
      <c r="D96" s="181">
        <f>+'610 Library'!K52+'610 Library'!K53</f>
        <v>51513.56</v>
      </c>
      <c r="E96" s="4" t="s">
        <v>1396</v>
      </c>
    </row>
    <row r="97" spans="1:5" x14ac:dyDescent="0.2">
      <c r="B97" s="28" t="s">
        <v>648</v>
      </c>
      <c r="C97" s="28">
        <v>5</v>
      </c>
      <c r="D97" s="181">
        <f>+'610 Library'!K54</f>
        <v>35388.99</v>
      </c>
    </row>
    <row r="98" spans="1:5" x14ac:dyDescent="0.2">
      <c r="B98" s="28" t="s">
        <v>652</v>
      </c>
      <c r="C98" s="28">
        <v>4</v>
      </c>
      <c r="D98" s="181">
        <f>+'610 Library'!K55</f>
        <v>10223.85</v>
      </c>
      <c r="E98" s="4" t="s">
        <v>787</v>
      </c>
    </row>
    <row r="99" spans="1:5" x14ac:dyDescent="0.2">
      <c r="B99" s="28" t="s">
        <v>652</v>
      </c>
      <c r="C99" s="28">
        <v>3</v>
      </c>
      <c r="D99" s="181">
        <f>+'610 Library'!K56</f>
        <v>22866.69</v>
      </c>
      <c r="E99" s="4" t="s">
        <v>649</v>
      </c>
    </row>
    <row r="100" spans="1:5" x14ac:dyDescent="0.2">
      <c r="B100" s="28" t="s">
        <v>652</v>
      </c>
      <c r="C100" s="28">
        <v>10</v>
      </c>
      <c r="D100" s="181">
        <f>+'610 Library'!K57</f>
        <v>13373.6</v>
      </c>
      <c r="E100" s="4" t="s">
        <v>650</v>
      </c>
    </row>
    <row r="101" spans="1:5" x14ac:dyDescent="0.2">
      <c r="B101" s="28" t="s">
        <v>652</v>
      </c>
      <c r="C101" s="28">
        <v>4</v>
      </c>
      <c r="D101" s="181">
        <f>+'610 Library'!K58</f>
        <v>21988.5</v>
      </c>
      <c r="E101" s="4" t="s">
        <v>649</v>
      </c>
    </row>
    <row r="102" spans="1:5" x14ac:dyDescent="0.2">
      <c r="B102" s="28" t="s">
        <v>652</v>
      </c>
      <c r="C102" s="28">
        <v>10</v>
      </c>
      <c r="D102" s="181">
        <f>+'610 Library'!K59</f>
        <v>15498.72</v>
      </c>
      <c r="E102" s="4" t="s">
        <v>952</v>
      </c>
    </row>
    <row r="103" spans="1:5" x14ac:dyDescent="0.2">
      <c r="B103" s="28" t="s">
        <v>653</v>
      </c>
      <c r="C103" s="28">
        <v>5</v>
      </c>
      <c r="D103" s="181">
        <f>+'610 Library'!K60</f>
        <v>13152.23</v>
      </c>
      <c r="E103" s="4" t="s">
        <v>787</v>
      </c>
    </row>
    <row r="104" spans="1:5" x14ac:dyDescent="0.2">
      <c r="A104" s="181"/>
      <c r="B104" s="4" t="s">
        <v>652</v>
      </c>
      <c r="C104" s="4">
        <v>8</v>
      </c>
      <c r="D104" s="181">
        <f>+'610 Library'!K61</f>
        <v>27139.200000000001</v>
      </c>
      <c r="E104" s="4" t="s">
        <v>1283</v>
      </c>
    </row>
    <row r="106" spans="1:5" x14ac:dyDescent="0.2">
      <c r="A106" s="85" t="s">
        <v>654</v>
      </c>
    </row>
    <row r="107" spans="1:5" x14ac:dyDescent="0.2">
      <c r="B107" s="4" t="s">
        <v>570</v>
      </c>
      <c r="C107" s="85">
        <v>11</v>
      </c>
      <c r="D107" s="181">
        <f>+'630 Recreation'!K35</f>
        <v>75014</v>
      </c>
    </row>
    <row r="108" spans="1:5" x14ac:dyDescent="0.2">
      <c r="B108" s="4" t="s">
        <v>951</v>
      </c>
      <c r="C108" s="4">
        <v>8</v>
      </c>
      <c r="D108" s="181">
        <f>+'630 Recreation'!K36</f>
        <v>21580</v>
      </c>
      <c r="E108" s="4" t="s">
        <v>1200</v>
      </c>
    </row>
    <row r="110" spans="1:5" x14ac:dyDescent="0.2">
      <c r="A110" s="85" t="s">
        <v>706</v>
      </c>
    </row>
    <row r="111" spans="1:5" x14ac:dyDescent="0.2">
      <c r="B111" s="4" t="s">
        <v>655</v>
      </c>
      <c r="C111" s="4">
        <v>4</v>
      </c>
      <c r="D111" s="181">
        <f>+'600 482 Airport'!K43</f>
        <v>22868.97</v>
      </c>
      <c r="E111" s="4" t="s">
        <v>759</v>
      </c>
    </row>
    <row r="113" spans="1:4" x14ac:dyDescent="0.2">
      <c r="A113" s="85" t="s">
        <v>265</v>
      </c>
    </row>
    <row r="114" spans="1:4" x14ac:dyDescent="0.2">
      <c r="B114" s="28" t="s">
        <v>1081</v>
      </c>
      <c r="C114" s="161">
        <v>5</v>
      </c>
      <c r="D114" s="221">
        <f>+'661 440 WPCF'!K52</f>
        <v>83841</v>
      </c>
    </row>
    <row r="115" spans="1:4" x14ac:dyDescent="0.2">
      <c r="B115" s="28" t="s">
        <v>1284</v>
      </c>
      <c r="C115" s="28">
        <v>3</v>
      </c>
      <c r="D115" s="181">
        <f>+'661 440 WPCF'!K54</f>
        <v>59090.400000000001</v>
      </c>
    </row>
    <row r="116" spans="1:4" x14ac:dyDescent="0.2">
      <c r="B116" s="28" t="s">
        <v>1039</v>
      </c>
      <c r="C116" s="28">
        <v>5</v>
      </c>
      <c r="D116" s="181">
        <f>+'661 440 WPCF'!K55</f>
        <v>51448.32</v>
      </c>
    </row>
    <row r="117" spans="1:4" x14ac:dyDescent="0.2">
      <c r="B117" s="28" t="s">
        <v>728</v>
      </c>
      <c r="C117" s="28">
        <v>9</v>
      </c>
      <c r="D117" s="181">
        <f>+'661 440 WPCF'!K56</f>
        <v>56250.720000000001</v>
      </c>
    </row>
    <row r="118" spans="1:4" x14ac:dyDescent="0.2">
      <c r="B118" s="28" t="s">
        <v>1040</v>
      </c>
      <c r="C118" s="90">
        <v>10</v>
      </c>
      <c r="D118" s="181">
        <f>+'661 440 WPCF'!K57</f>
        <v>53139.6</v>
      </c>
    </row>
    <row r="119" spans="1:4" x14ac:dyDescent="0.2">
      <c r="B119" s="161" t="s">
        <v>1285</v>
      </c>
      <c r="C119" s="161">
        <v>2</v>
      </c>
      <c r="D119" s="181">
        <f>+'661 440 WPCF'!K58</f>
        <v>37730.160000000003</v>
      </c>
    </row>
    <row r="120" spans="1:4" x14ac:dyDescent="0.2">
      <c r="B120" s="4" t="s">
        <v>1285</v>
      </c>
      <c r="C120" s="4">
        <v>2</v>
      </c>
      <c r="D120" s="181">
        <f>+'661 440 WPCF'!K59</f>
        <v>37730.160000000003</v>
      </c>
    </row>
    <row r="121" spans="1:4" x14ac:dyDescent="0.2">
      <c r="B121" s="4" t="s">
        <v>1666</v>
      </c>
      <c r="C121" s="4">
        <v>2</v>
      </c>
      <c r="D121" s="181">
        <f>+'661 440 WPCF'!K53</f>
        <v>18781.560000000001</v>
      </c>
    </row>
  </sheetData>
  <mergeCells count="1">
    <mergeCell ref="A1:F1"/>
  </mergeCells>
  <phoneticPr fontId="15" type="noConversion"/>
  <printOptions horizontalCentered="1"/>
  <pageMargins left="0.75" right="0.75" top="1" bottom="1" header="0.5" footer="0.5"/>
  <pageSetup scale="97" fitToHeight="3" orientation="portrait" r:id="rId1"/>
  <headerFooter alignWithMargins="0">
    <oddFooter>&amp;L&amp;D &amp;T&amp;C&amp;F&amp;R&amp;A&amp;P</oddFooter>
  </headerFooter>
  <rowBreaks count="1" manualBreakCount="1">
    <brk id="86" max="5"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05"/>
  <sheetViews>
    <sheetView tabSelected="1" zoomScaleNormal="100" workbookViewId="0">
      <pane xSplit="2" ySplit="4" topLeftCell="H73" activePane="bottomRight" state="frozen"/>
      <selection activeCell="G21" sqref="G21"/>
      <selection pane="topRight" activeCell="G21" sqref="G21"/>
      <selection pane="bottomLeft" activeCell="G21" sqref="G21"/>
      <selection pane="bottomRight" activeCell="H76" sqref="H76"/>
    </sheetView>
  </sheetViews>
  <sheetFormatPr defaultRowHeight="15" x14ac:dyDescent="0.2"/>
  <cols>
    <col min="1" max="1" width="5.6640625" style="672" customWidth="1"/>
    <col min="2" max="2" width="35.5" style="672" customWidth="1"/>
    <col min="3" max="7" width="16.83203125" style="673" hidden="1" customWidth="1"/>
    <col min="8" max="8" width="17" style="673" customWidth="1"/>
    <col min="9" max="9" width="17.5" style="673" customWidth="1"/>
    <col min="10" max="10" width="20.6640625" style="673" customWidth="1"/>
    <col min="11" max="11" width="1.6640625" style="672" hidden="1" customWidth="1"/>
    <col min="12" max="12" width="2.5" style="672" hidden="1" customWidth="1"/>
    <col min="13" max="13" width="13.5" style="672" customWidth="1"/>
    <col min="14" max="14" width="12" style="672" customWidth="1"/>
  </cols>
  <sheetData>
    <row r="1" spans="1:14" x14ac:dyDescent="0.2">
      <c r="J1" s="674" t="s">
        <v>1314</v>
      </c>
      <c r="K1" s="4"/>
      <c r="L1" s="4"/>
    </row>
    <row r="2" spans="1:14" x14ac:dyDescent="0.2">
      <c r="J2" s="674" t="s">
        <v>785</v>
      </c>
      <c r="K2" s="4" t="s">
        <v>1088</v>
      </c>
      <c r="L2" s="4"/>
    </row>
    <row r="3" spans="1:14" x14ac:dyDescent="0.2">
      <c r="A3" s="672" t="s">
        <v>560</v>
      </c>
      <c r="C3" s="675" t="s">
        <v>561</v>
      </c>
      <c r="D3" s="675" t="s">
        <v>561</v>
      </c>
      <c r="E3" s="675" t="s">
        <v>561</v>
      </c>
      <c r="F3" s="675" t="s">
        <v>561</v>
      </c>
      <c r="G3" s="675" t="s">
        <v>561</v>
      </c>
      <c r="H3" s="675" t="s">
        <v>463</v>
      </c>
      <c r="I3" s="674" t="s">
        <v>92</v>
      </c>
      <c r="J3" s="674" t="s">
        <v>784</v>
      </c>
      <c r="K3" s="768" t="s">
        <v>1089</v>
      </c>
      <c r="L3" s="4"/>
      <c r="M3" s="674" t="s">
        <v>1073</v>
      </c>
      <c r="N3" s="674" t="s">
        <v>682</v>
      </c>
    </row>
    <row r="4" spans="1:14" x14ac:dyDescent="0.2">
      <c r="A4" s="672" t="s">
        <v>268</v>
      </c>
      <c r="C4" s="675" t="s">
        <v>332</v>
      </c>
      <c r="D4" s="675" t="s">
        <v>78</v>
      </c>
      <c r="E4" s="675" t="s">
        <v>732</v>
      </c>
      <c r="F4" s="674" t="s">
        <v>881</v>
      </c>
      <c r="G4" s="674" t="s">
        <v>897</v>
      </c>
      <c r="H4" s="674" t="s">
        <v>899</v>
      </c>
      <c r="I4" s="674" t="s">
        <v>900</v>
      </c>
      <c r="J4" s="674" t="s">
        <v>900</v>
      </c>
      <c r="K4" s="4"/>
      <c r="L4" s="4"/>
      <c r="M4" s="712" t="s">
        <v>340</v>
      </c>
      <c r="N4" s="712" t="s">
        <v>340</v>
      </c>
    </row>
    <row r="5" spans="1:14" x14ac:dyDescent="0.2">
      <c r="B5" s="672" t="str">
        <f>+'Working Budget with funding det'!B31</f>
        <v>GENERAL GOVERNMENT</v>
      </c>
      <c r="K5" s="4"/>
      <c r="L5" s="4"/>
    </row>
    <row r="6" spans="1:14" x14ac:dyDescent="0.2">
      <c r="A6" s="672">
        <f>+'Working Budget with funding det'!A32</f>
        <v>113</v>
      </c>
      <c r="B6" s="672" t="str">
        <f>+'Working Budget with funding det'!B32</f>
        <v>TOWN MEETING</v>
      </c>
      <c r="C6" s="673">
        <f>+'113 Town Mtg'!C23</f>
        <v>1561.73</v>
      </c>
      <c r="D6" s="673">
        <f>+'113 Town Mtg'!D23</f>
        <v>1423.38</v>
      </c>
      <c r="E6" s="673">
        <f>+'113 Town Mtg'!E23</f>
        <v>1614.6</v>
      </c>
      <c r="F6" s="673">
        <f>+'113 Town Mtg'!G23</f>
        <v>1581.73</v>
      </c>
      <c r="G6" s="673">
        <f>+'113 Town Mtg'!H23</f>
        <v>1783.82</v>
      </c>
      <c r="H6" s="673">
        <f>+'113 Town Mtg'!J23</f>
        <v>2070</v>
      </c>
      <c r="I6" s="673">
        <f>+'113 Town Mtg'!L23</f>
        <v>2090</v>
      </c>
      <c r="J6" s="673">
        <f>+'113 Town Mtg'!M23</f>
        <v>2090</v>
      </c>
      <c r="K6" s="29">
        <f>+I6-G6</f>
        <v>306.18000000000006</v>
      </c>
      <c r="L6" s="769">
        <f>ROUND((+K6/G6),4)</f>
        <v>0.1716</v>
      </c>
      <c r="M6" s="673">
        <f t="shared" ref="M6:M11" si="0">+I6-H6</f>
        <v>20</v>
      </c>
      <c r="N6" s="676">
        <f t="shared" ref="N6:N11" si="1">ROUND((+M6/H6),4)</f>
        <v>9.7000000000000003E-3</v>
      </c>
    </row>
    <row r="7" spans="1:14" x14ac:dyDescent="0.2">
      <c r="A7" s="672">
        <f>+'Working Budget with funding det'!A33</f>
        <v>122</v>
      </c>
      <c r="B7" s="672" t="str">
        <f>+'Working Budget with funding det'!B33</f>
        <v>SELECT BOARD</v>
      </c>
      <c r="C7" s="673">
        <f>+'122 Selectboard'!C36</f>
        <v>129636.18999999999</v>
      </c>
      <c r="D7" s="673">
        <f>+'122 Selectboard'!D36</f>
        <v>141863.65000000002</v>
      </c>
      <c r="E7" s="673">
        <f>+'122 Selectboard'!E36</f>
        <v>148667.49</v>
      </c>
      <c r="F7" s="673">
        <f>+'122 Selectboard'!G36</f>
        <v>193441</v>
      </c>
      <c r="G7" s="673">
        <f>+'122 Selectboard'!H36</f>
        <v>175165.72999999998</v>
      </c>
      <c r="H7" s="673">
        <f>+'122 Selectboard'!J36</f>
        <v>184489</v>
      </c>
      <c r="I7" s="673">
        <f>+'122 Selectboard'!L36</f>
        <v>192014</v>
      </c>
      <c r="J7" s="673">
        <f>+'122 Selectboard'!M36</f>
        <v>192014</v>
      </c>
      <c r="K7" s="29">
        <f t="shared" ref="K7:K21" si="2">+I7-G7</f>
        <v>16848.270000000019</v>
      </c>
      <c r="L7" s="769">
        <f t="shared" ref="L7:L21" si="3">ROUND((+K7/G7),4)</f>
        <v>9.6199999999999994E-2</v>
      </c>
      <c r="M7" s="673">
        <f t="shared" si="0"/>
        <v>7525</v>
      </c>
      <c r="N7" s="676">
        <f t="shared" si="1"/>
        <v>4.0800000000000003E-2</v>
      </c>
    </row>
    <row r="8" spans="1:14" x14ac:dyDescent="0.2">
      <c r="A8" s="672">
        <f>+'Working Budget with funding det'!A34</f>
        <v>131</v>
      </c>
      <c r="B8" s="672" t="str">
        <f>+'Working Budget with funding det'!B34</f>
        <v>FINANCE COMMITTEE</v>
      </c>
      <c r="C8" s="673">
        <f>+'131 Fin Comm'!C18</f>
        <v>659.25</v>
      </c>
      <c r="D8" s="673">
        <f>+'131 Fin Comm'!D18</f>
        <v>315.39999999999998</v>
      </c>
      <c r="E8" s="673">
        <f>+'131 Fin Comm'!E18</f>
        <v>571.79999999999995</v>
      </c>
      <c r="F8" s="673">
        <f>+'131 Fin Comm'!G18</f>
        <v>422</v>
      </c>
      <c r="G8" s="673">
        <f>+'131 Fin Comm'!H18</f>
        <v>468</v>
      </c>
      <c r="H8" s="673">
        <f>+'131 Fin Comm'!J18</f>
        <v>680</v>
      </c>
      <c r="I8" s="673">
        <f>+'131 Fin Comm'!L18</f>
        <v>1000</v>
      </c>
      <c r="J8" s="673">
        <f>+'131 Fin Comm'!M18</f>
        <v>1000</v>
      </c>
      <c r="K8" s="29">
        <f t="shared" si="2"/>
        <v>532</v>
      </c>
      <c r="L8" s="769">
        <f t="shared" si="3"/>
        <v>1.1368</v>
      </c>
      <c r="M8" s="673">
        <f t="shared" si="0"/>
        <v>320</v>
      </c>
      <c r="N8" s="676">
        <f t="shared" si="1"/>
        <v>0.47060000000000002</v>
      </c>
    </row>
    <row r="9" spans="1:14" x14ac:dyDescent="0.2">
      <c r="A9" s="672">
        <f>+'Working Budget with funding det'!A35</f>
        <v>132</v>
      </c>
      <c r="B9" s="672" t="str">
        <f>+'Working Budget with funding det'!B35</f>
        <v>RESERVE FUND</v>
      </c>
      <c r="C9" s="673">
        <f>+'132 Reserve Fund'!C14</f>
        <v>44620</v>
      </c>
      <c r="D9" s="673">
        <f>+'132 Reserve Fund'!D14</f>
        <v>24500</v>
      </c>
      <c r="E9" s="673">
        <f>+'132 Reserve Fund'!E14</f>
        <v>41400</v>
      </c>
      <c r="F9" s="673">
        <f>+'132 Reserve Fund'!G14</f>
        <v>58400.800000000003</v>
      </c>
      <c r="G9" s="673">
        <f>+'132 Reserve Fund'!H14</f>
        <v>43309.74</v>
      </c>
      <c r="H9" s="673">
        <f>+'132 Reserve Fund'!J14</f>
        <v>60000</v>
      </c>
      <c r="I9" s="673">
        <f>+'132 Reserve Fund'!L14</f>
        <v>60000</v>
      </c>
      <c r="J9" s="673">
        <f>+'132 Reserve Fund'!M14</f>
        <v>60000</v>
      </c>
      <c r="K9" s="29">
        <f t="shared" si="2"/>
        <v>16690.260000000002</v>
      </c>
      <c r="L9" s="769">
        <f t="shared" si="3"/>
        <v>0.38540000000000002</v>
      </c>
      <c r="M9" s="673">
        <f t="shared" si="0"/>
        <v>0</v>
      </c>
      <c r="N9" s="676">
        <f t="shared" si="1"/>
        <v>0</v>
      </c>
    </row>
    <row r="10" spans="1:14" x14ac:dyDescent="0.2">
      <c r="A10" s="672">
        <f>+'Working Budget with funding det'!A36</f>
        <v>135</v>
      </c>
      <c r="B10" s="672" t="str">
        <f>+'Working Budget with funding det'!B36</f>
        <v>TOWN ACCOUNTANT</v>
      </c>
      <c r="C10" s="673">
        <f>+'135 Acct'!C26</f>
        <v>69678.560000000012</v>
      </c>
      <c r="D10" s="673">
        <f>+'135 Acct'!D26</f>
        <v>69599.66</v>
      </c>
      <c r="E10" s="673">
        <f>+'135 Acct'!E26</f>
        <v>73935.94</v>
      </c>
      <c r="F10" s="673">
        <f>+'135 Acct'!G26</f>
        <v>75098.350000000006</v>
      </c>
      <c r="G10" s="673">
        <f>+'135 Acct'!H26</f>
        <v>75900.149999999994</v>
      </c>
      <c r="H10" s="673">
        <f>+'135 Acct'!J26</f>
        <v>81680</v>
      </c>
      <c r="I10" s="673">
        <f>+'135 Acct'!L26</f>
        <v>81934</v>
      </c>
      <c r="J10" s="673">
        <f>+'135 Acct'!M26</f>
        <v>81934</v>
      </c>
      <c r="K10" s="29">
        <f t="shared" si="2"/>
        <v>6033.8500000000058</v>
      </c>
      <c r="L10" s="769">
        <f t="shared" si="3"/>
        <v>7.9500000000000001E-2</v>
      </c>
      <c r="M10" s="673">
        <f t="shared" si="0"/>
        <v>254</v>
      </c>
      <c r="N10" s="676">
        <f t="shared" si="1"/>
        <v>3.0999999999999999E-3</v>
      </c>
    </row>
    <row r="11" spans="1:14" x14ac:dyDescent="0.2">
      <c r="A11" s="672">
        <f>+'Working Budget with funding det'!A37</f>
        <v>141</v>
      </c>
      <c r="B11" s="672" t="str">
        <f>+'Working Budget with funding det'!B37</f>
        <v>ASSESSORS</v>
      </c>
      <c r="C11" s="673">
        <f>+'141 BOA'!C41</f>
        <v>141651.54</v>
      </c>
      <c r="D11" s="673">
        <f>+'141 BOA'!D41</f>
        <v>144985.04999999999</v>
      </c>
      <c r="E11" s="673">
        <f>+'141 BOA'!E41</f>
        <v>151757</v>
      </c>
      <c r="F11" s="673">
        <f>+'141 BOA'!G41</f>
        <v>163402.36000000002</v>
      </c>
      <c r="G11" s="673">
        <f>+'141 BOA'!H41</f>
        <v>172805.62</v>
      </c>
      <c r="H11" s="673">
        <f>+'141 BOA'!J41</f>
        <v>189278</v>
      </c>
      <c r="I11" s="673">
        <f>+'141 BOA'!L41</f>
        <v>195422</v>
      </c>
      <c r="J11" s="673">
        <f>+'141 BOA'!M41</f>
        <v>195422</v>
      </c>
      <c r="K11" s="29">
        <f t="shared" si="2"/>
        <v>22616.380000000005</v>
      </c>
      <c r="L11" s="769">
        <f t="shared" si="3"/>
        <v>0.13089999999999999</v>
      </c>
      <c r="M11" s="673">
        <f t="shared" si="0"/>
        <v>6144</v>
      </c>
      <c r="N11" s="676">
        <f t="shared" si="1"/>
        <v>3.2500000000000001E-2</v>
      </c>
    </row>
    <row r="12" spans="1:14" x14ac:dyDescent="0.2">
      <c r="A12" s="672">
        <f>+'Working Budget with funding det'!A39</f>
        <v>145</v>
      </c>
      <c r="B12" s="672" t="str">
        <f>+'Working Budget with funding det'!B39</f>
        <v>TREASURER/COLLECTOR</v>
      </c>
      <c r="C12" s="673">
        <f>+'145 Treas'!C33</f>
        <v>191039.90999999997</v>
      </c>
      <c r="D12" s="673">
        <f>+'145 Treas'!D33</f>
        <v>197309.9</v>
      </c>
      <c r="E12" s="673">
        <f>+'145 Treas'!E33</f>
        <v>206758.38</v>
      </c>
      <c r="F12" s="673">
        <f>+'145 Treas'!G33</f>
        <v>213700.67</v>
      </c>
      <c r="G12" s="673">
        <f>+'145 Treas'!H33</f>
        <v>208670.33</v>
      </c>
      <c r="H12" s="673">
        <f>+'145 Treas'!J33</f>
        <v>224914</v>
      </c>
      <c r="I12" s="673">
        <f>+'145 Treas'!L33</f>
        <v>239560.21</v>
      </c>
      <c r="J12" s="673">
        <f>+'145 Treas'!M33</f>
        <v>239560.21</v>
      </c>
      <c r="K12" s="29">
        <f t="shared" si="2"/>
        <v>30889.880000000005</v>
      </c>
      <c r="L12" s="769">
        <f t="shared" si="3"/>
        <v>0.14799999999999999</v>
      </c>
      <c r="M12" s="673">
        <f t="shared" ref="M12:M21" si="4">+I12-H12</f>
        <v>14646.209999999992</v>
      </c>
      <c r="N12" s="676">
        <f t="shared" ref="N12:N21" si="5">ROUND((+M12/H12),4)</f>
        <v>6.5100000000000005E-2</v>
      </c>
    </row>
    <row r="13" spans="1:14" x14ac:dyDescent="0.2">
      <c r="A13" s="672">
        <f>+'Working Budget with funding det'!A40</f>
        <v>151</v>
      </c>
      <c r="B13" s="672" t="str">
        <f>+'Working Budget with funding det'!B40</f>
        <v>TOWN COUNSEL</v>
      </c>
      <c r="C13" s="673">
        <f>+'151 Counsel'!C15</f>
        <v>79291.739999999991</v>
      </c>
      <c r="D13" s="673">
        <f>+'151 Counsel'!D15</f>
        <v>68222.33</v>
      </c>
      <c r="E13" s="673">
        <f>+'151 Counsel'!E15</f>
        <v>104258.47</v>
      </c>
      <c r="F13" s="673">
        <f>+'151 Counsel'!G15</f>
        <v>94990.93</v>
      </c>
      <c r="G13" s="673">
        <f>+'151 Counsel'!H15</f>
        <v>78752.53</v>
      </c>
      <c r="H13" s="673">
        <f>+'151 Counsel'!J15</f>
        <v>98000</v>
      </c>
      <c r="I13" s="673">
        <f>+'151 Counsel'!L15</f>
        <v>90000</v>
      </c>
      <c r="J13" s="673">
        <f>+'151 Counsel'!M15</f>
        <v>90000</v>
      </c>
      <c r="K13" s="29">
        <f t="shared" si="2"/>
        <v>11247.470000000001</v>
      </c>
      <c r="L13" s="769">
        <f t="shared" si="3"/>
        <v>0.14280000000000001</v>
      </c>
      <c r="M13" s="673">
        <f t="shared" si="4"/>
        <v>-8000</v>
      </c>
      <c r="N13" s="676">
        <f t="shared" si="5"/>
        <v>-8.1600000000000006E-2</v>
      </c>
    </row>
    <row r="14" spans="1:14" x14ac:dyDescent="0.2">
      <c r="A14" s="672">
        <v>155</v>
      </c>
      <c r="B14" s="672" t="s">
        <v>937</v>
      </c>
      <c r="C14" s="673">
        <f>+'155 IT'!C23</f>
        <v>21070.73</v>
      </c>
      <c r="D14" s="673">
        <f>+'155 IT'!D23</f>
        <v>21720.39</v>
      </c>
      <c r="E14" s="673">
        <f>+'155 IT'!E23</f>
        <v>22312.94</v>
      </c>
      <c r="F14" s="673">
        <f>+'155 IT'!G23</f>
        <v>33814.289999999994</v>
      </c>
      <c r="G14" s="673">
        <f>+'155 IT'!H23</f>
        <v>43349.700000000004</v>
      </c>
      <c r="H14" s="673">
        <f>+'155 IT'!J23</f>
        <v>46000</v>
      </c>
      <c r="I14" s="673">
        <f>+'155 IT'!L23</f>
        <v>58100</v>
      </c>
      <c r="J14" s="673">
        <f>+'155 IT'!M23</f>
        <v>58100</v>
      </c>
      <c r="K14" s="29">
        <f t="shared" si="2"/>
        <v>14750.299999999996</v>
      </c>
      <c r="L14" s="769">
        <f t="shared" si="3"/>
        <v>0.34029999999999999</v>
      </c>
      <c r="M14" s="673">
        <f t="shared" si="4"/>
        <v>12100</v>
      </c>
      <c r="N14" s="676">
        <f t="shared" si="5"/>
        <v>0.26300000000000001</v>
      </c>
    </row>
    <row r="15" spans="1:14" x14ac:dyDescent="0.2">
      <c r="A15" s="672">
        <f>+'Working Budget with funding det'!A42</f>
        <v>159</v>
      </c>
      <c r="B15" s="672" t="str">
        <f>+'Working Budget with funding det'!B42</f>
        <v>SHARED COSTS</v>
      </c>
      <c r="C15" s="673">
        <f>+'159 Shared Costs'!C21</f>
        <v>41297.370000000003</v>
      </c>
      <c r="D15" s="673">
        <f>+'159 Shared Costs'!D21</f>
        <v>40543.560000000005</v>
      </c>
      <c r="E15" s="673">
        <f>+'159 Shared Costs'!E23</f>
        <v>43387.42</v>
      </c>
      <c r="F15" s="673">
        <f>+'159 Shared Costs'!G21</f>
        <v>43321.19</v>
      </c>
      <c r="G15" s="673">
        <f>+'159 Shared Costs'!H21</f>
        <v>72116.45</v>
      </c>
      <c r="H15" s="673">
        <f>+'159 Shared Costs'!J21</f>
        <v>65659</v>
      </c>
      <c r="I15" s="673">
        <f>+'159 Shared Costs'!L21</f>
        <v>72759</v>
      </c>
      <c r="J15" s="673">
        <f>+'159 Shared Costs'!M21</f>
        <v>72759</v>
      </c>
      <c r="K15" s="29">
        <f t="shared" si="2"/>
        <v>642.55000000000291</v>
      </c>
      <c r="L15" s="769">
        <f t="shared" si="3"/>
        <v>8.8999999999999999E-3</v>
      </c>
      <c r="M15" s="673">
        <f t="shared" si="4"/>
        <v>7100</v>
      </c>
      <c r="N15" s="676">
        <f t="shared" si="5"/>
        <v>0.1081</v>
      </c>
    </row>
    <row r="16" spans="1:14" x14ac:dyDescent="0.2">
      <c r="A16" s="672">
        <f>+'Working Budget with funding det'!A43</f>
        <v>161</v>
      </c>
      <c r="B16" s="672" t="str">
        <f>+'Working Budget with funding det'!B43</f>
        <v>TOWN CLERK</v>
      </c>
      <c r="C16" s="673">
        <f>+'161 Clerk'!C36</f>
        <v>130503.54</v>
      </c>
      <c r="D16" s="673">
        <f>+'161 Clerk'!D36</f>
        <v>113509.36</v>
      </c>
      <c r="E16" s="673">
        <f>+'161 Clerk'!E36</f>
        <v>134637.65</v>
      </c>
      <c r="F16" s="673">
        <f>+'161 Clerk'!G36</f>
        <v>142245.75999999998</v>
      </c>
      <c r="G16" s="673">
        <f>+'161 Clerk'!H36</f>
        <v>134774.06</v>
      </c>
      <c r="H16" s="673">
        <f>+'161 Clerk'!J36</f>
        <v>159223</v>
      </c>
      <c r="I16" s="673">
        <f>+'161 Clerk'!L36</f>
        <v>167001</v>
      </c>
      <c r="J16" s="673">
        <f>+'161 Clerk'!M36</f>
        <v>167001</v>
      </c>
      <c r="K16" s="29">
        <f t="shared" si="2"/>
        <v>32226.940000000002</v>
      </c>
      <c r="L16" s="769">
        <f t="shared" si="3"/>
        <v>0.23910000000000001</v>
      </c>
      <c r="M16" s="673">
        <f t="shared" si="4"/>
        <v>7778</v>
      </c>
      <c r="N16" s="676">
        <f t="shared" si="5"/>
        <v>4.8800000000000003E-2</v>
      </c>
    </row>
    <row r="17" spans="1:14" x14ac:dyDescent="0.2">
      <c r="A17" s="672">
        <f>+'Working Budget with funding det'!A44</f>
        <v>175</v>
      </c>
      <c r="B17" s="672" t="str">
        <f>+'Working Budget with funding det'!B44</f>
        <v>PLANNING</v>
      </c>
      <c r="C17" s="673">
        <f>+'175 Planning'!C30</f>
        <v>64295.68</v>
      </c>
      <c r="D17" s="673">
        <f>+'175 Planning'!D30</f>
        <v>74043.48</v>
      </c>
      <c r="E17" s="673">
        <f>+'175 Planning'!E30</f>
        <v>76609.999999999985</v>
      </c>
      <c r="F17" s="673">
        <f>+'175 Planning'!G30</f>
        <v>85614.25</v>
      </c>
      <c r="G17" s="673">
        <f>+'175 Planning'!H30</f>
        <v>89106.83</v>
      </c>
      <c r="H17" s="673">
        <f>+'175 Planning'!J30</f>
        <v>125302</v>
      </c>
      <c r="I17" s="673">
        <f>+'175 Planning'!L30</f>
        <v>121187.00000000001</v>
      </c>
      <c r="J17" s="673">
        <f>+'175 Planning'!M30</f>
        <v>121187.00000000001</v>
      </c>
      <c r="K17" s="29">
        <f t="shared" si="2"/>
        <v>32080.170000000013</v>
      </c>
      <c r="L17" s="769">
        <f t="shared" si="3"/>
        <v>0.36</v>
      </c>
      <c r="M17" s="673">
        <f t="shared" si="4"/>
        <v>-4114.9999999999854</v>
      </c>
      <c r="N17" s="676">
        <f t="shared" si="5"/>
        <v>-3.2800000000000003E-2</v>
      </c>
    </row>
    <row r="18" spans="1:14" x14ac:dyDescent="0.2">
      <c r="A18" s="672">
        <f>+'Working Budget with funding det'!A45</f>
        <v>176</v>
      </c>
      <c r="B18" s="672" t="str">
        <f>+'Working Budget with funding det'!B45</f>
        <v>ZONING BOARD OF APPEALS</v>
      </c>
      <c r="C18" s="673">
        <f>+'176 ZBA'!C18</f>
        <v>3437.02</v>
      </c>
      <c r="D18" s="673">
        <f>+'176 ZBA'!D18</f>
        <v>1079.7</v>
      </c>
      <c r="E18" s="673">
        <f>+'176 ZBA'!E18</f>
        <v>1238.56</v>
      </c>
      <c r="F18" s="673">
        <f>+'176 ZBA'!G18</f>
        <v>2086.86</v>
      </c>
      <c r="G18" s="673">
        <f>+'176 ZBA'!H18</f>
        <v>3065.5</v>
      </c>
      <c r="H18" s="673">
        <f>+'176 ZBA'!J18</f>
        <v>1200</v>
      </c>
      <c r="I18" s="673">
        <f>+'176 ZBA'!L18</f>
        <v>1200</v>
      </c>
      <c r="J18" s="673">
        <f>+'176 ZBA'!M18</f>
        <v>1200</v>
      </c>
      <c r="K18" s="29">
        <f t="shared" si="2"/>
        <v>-1865.5</v>
      </c>
      <c r="L18" s="769">
        <f t="shared" si="3"/>
        <v>-0.60850000000000004</v>
      </c>
      <c r="M18" s="673">
        <f t="shared" si="4"/>
        <v>0</v>
      </c>
      <c r="N18" s="676">
        <f t="shared" si="5"/>
        <v>0</v>
      </c>
    </row>
    <row r="19" spans="1:14" x14ac:dyDescent="0.2">
      <c r="A19" s="672">
        <v>182</v>
      </c>
      <c r="B19" s="672" t="s">
        <v>711</v>
      </c>
      <c r="C19" s="673">
        <f>+'182 MEDIC'!C17</f>
        <v>1485</v>
      </c>
      <c r="D19" s="673">
        <f>+'182 MEDIC'!D17</f>
        <v>0</v>
      </c>
      <c r="E19" s="673">
        <f>+'182 MEDIC'!E17</f>
        <v>676</v>
      </c>
      <c r="F19" s="673">
        <f>+'182 MEDIC'!G17</f>
        <v>984</v>
      </c>
      <c r="G19" s="673">
        <f>+'182 MEDIC'!H17</f>
        <v>884</v>
      </c>
      <c r="H19" s="673">
        <f>+'182 MEDIC'!J17</f>
        <v>1000</v>
      </c>
      <c r="I19" s="673">
        <f>+'182 MEDIC'!L17</f>
        <v>5000</v>
      </c>
      <c r="J19" s="673">
        <f>+'182 MEDIC'!M17</f>
        <v>5000</v>
      </c>
      <c r="K19" s="29">
        <f t="shared" si="2"/>
        <v>4116</v>
      </c>
      <c r="L19" s="769">
        <f t="shared" si="3"/>
        <v>4.6561000000000003</v>
      </c>
      <c r="M19" s="673">
        <f t="shared" si="4"/>
        <v>4000</v>
      </c>
      <c r="N19" s="676">
        <f t="shared" si="5"/>
        <v>4</v>
      </c>
    </row>
    <row r="20" spans="1:14" x14ac:dyDescent="0.2">
      <c r="A20" s="672">
        <f>+'Working Budget with funding det'!A47</f>
        <v>190</v>
      </c>
      <c r="B20" s="672" t="str">
        <f>+'Working Budget with funding det'!B47</f>
        <v>PUBLIC BLDG UTILITIES</v>
      </c>
      <c r="C20" s="677">
        <f>+'190 Publ Bldg Utilities'!C41</f>
        <v>89938.37</v>
      </c>
      <c r="D20" s="677">
        <f>+'190 Publ Bldg Utilities'!D41</f>
        <v>103744.03</v>
      </c>
      <c r="E20" s="677">
        <f>+'190 Publ Bldg Utilities'!E41</f>
        <v>94949.29</v>
      </c>
      <c r="F20" s="677">
        <f>+'190 Publ Bldg Utilities'!G41</f>
        <v>86631.79</v>
      </c>
      <c r="G20" s="677">
        <f>+'190 Publ Bldg Utilities'!H41</f>
        <v>88374.909999999974</v>
      </c>
      <c r="H20" s="677">
        <f>+'190 Publ Bldg Utilities'!J41</f>
        <v>119570</v>
      </c>
      <c r="I20" s="677">
        <f>+'190 Publ Bldg Utilities'!L41</f>
        <v>141320</v>
      </c>
      <c r="J20" s="677">
        <f>+'190 Publ Bldg Utilities'!M41</f>
        <v>141320</v>
      </c>
      <c r="K20" s="29">
        <f t="shared" si="2"/>
        <v>52945.090000000026</v>
      </c>
      <c r="L20" s="769">
        <f t="shared" si="3"/>
        <v>0.59909999999999997</v>
      </c>
      <c r="M20" s="677">
        <f t="shared" si="4"/>
        <v>21750</v>
      </c>
      <c r="N20" s="676">
        <f t="shared" si="5"/>
        <v>0.18190000000000001</v>
      </c>
    </row>
    <row r="21" spans="1:14" x14ac:dyDescent="0.2">
      <c r="B21" s="672" t="s">
        <v>1313</v>
      </c>
      <c r="C21" s="673">
        <f t="shared" ref="C21:J21" si="6">SUM(C6:C20)</f>
        <v>1010166.63</v>
      </c>
      <c r="D21" s="673">
        <f t="shared" si="6"/>
        <v>1002859.89</v>
      </c>
      <c r="E21" s="673">
        <f t="shared" si="6"/>
        <v>1102775.54</v>
      </c>
      <c r="F21" s="673">
        <f t="shared" si="6"/>
        <v>1195735.9800000002</v>
      </c>
      <c r="G21" s="673">
        <f t="shared" si="6"/>
        <v>1188527.3699999999</v>
      </c>
      <c r="H21" s="673">
        <f t="shared" si="6"/>
        <v>1359065</v>
      </c>
      <c r="I21" s="673">
        <f t="shared" si="6"/>
        <v>1428587.21</v>
      </c>
      <c r="J21" s="673">
        <f t="shared" si="6"/>
        <v>1428587.21</v>
      </c>
      <c r="K21" s="29">
        <f t="shared" si="2"/>
        <v>240059.84000000008</v>
      </c>
      <c r="L21" s="769">
        <f t="shared" si="3"/>
        <v>0.20200000000000001</v>
      </c>
      <c r="M21" s="673">
        <f t="shared" si="4"/>
        <v>69522.209999999963</v>
      </c>
      <c r="N21" s="676">
        <f t="shared" si="5"/>
        <v>5.1200000000000002E-2</v>
      </c>
    </row>
    <row r="22" spans="1:14" x14ac:dyDescent="0.2">
      <c r="K22" s="4"/>
      <c r="L22" s="4"/>
    </row>
    <row r="23" spans="1:14" x14ac:dyDescent="0.2">
      <c r="B23" s="672" t="str">
        <f>+'Working Budget with funding det'!B51</f>
        <v>PUBLIC SAFETY</v>
      </c>
      <c r="K23" s="4"/>
      <c r="L23" s="4"/>
    </row>
    <row r="24" spans="1:14" x14ac:dyDescent="0.2">
      <c r="A24" s="672">
        <f>+'Working Budget with funding det'!A52</f>
        <v>211</v>
      </c>
      <c r="B24" s="672" t="str">
        <f>+'Working Budget with funding det'!B52</f>
        <v>POLICE</v>
      </c>
      <c r="C24" s="673">
        <f>+'211 Police'!C58-C25</f>
        <v>1203014.26</v>
      </c>
      <c r="D24" s="673">
        <f>+'211 Police'!D58-D25</f>
        <v>1263124.29</v>
      </c>
      <c r="E24" s="673">
        <f>+'211 Police'!E58-E25</f>
        <v>1370950.0999999999</v>
      </c>
      <c r="F24" s="673">
        <f>+'211 Police'!G58-F25</f>
        <v>1470652.1500000001</v>
      </c>
      <c r="G24" s="673">
        <f>+'211 Police'!H58-G25</f>
        <v>1309212.4100000001</v>
      </c>
      <c r="H24" s="835">
        <f>+'211 Police'!J58-H25</f>
        <v>1652537</v>
      </c>
      <c r="I24" s="673">
        <f>+'211 Police'!L58-I25</f>
        <v>1698119</v>
      </c>
      <c r="J24" s="673">
        <f>+'211 Police'!M58-J25</f>
        <v>1698119</v>
      </c>
      <c r="K24" s="29">
        <f t="shared" ref="K24:K33" si="7">+I24-G24</f>
        <v>388906.58999999985</v>
      </c>
      <c r="L24" s="769">
        <f t="shared" ref="L24:L33" si="8">ROUND((+K24/G24),4)</f>
        <v>0.29709999999999998</v>
      </c>
      <c r="M24" s="673">
        <f t="shared" ref="M24:M30" si="9">+I24-H24</f>
        <v>45582</v>
      </c>
      <c r="N24" s="676">
        <f t="shared" ref="N24:N30" si="10">ROUND((+M24/H24),4)</f>
        <v>2.76E-2</v>
      </c>
    </row>
    <row r="25" spans="1:14" x14ac:dyDescent="0.2">
      <c r="A25" s="672">
        <v>211</v>
      </c>
      <c r="B25" s="672" t="s">
        <v>596</v>
      </c>
      <c r="C25" s="673">
        <f>+'211 Police'!C56</f>
        <v>36895.4</v>
      </c>
      <c r="D25" s="673">
        <f>+'211 Police'!D56</f>
        <v>39483.5</v>
      </c>
      <c r="E25" s="673">
        <f>+'211 Police'!E56</f>
        <v>39102.5</v>
      </c>
      <c r="F25" s="673">
        <f>+'211 Police'!G56</f>
        <v>39500</v>
      </c>
      <c r="G25" s="673">
        <f>+'211 Police'!H56</f>
        <v>41424</v>
      </c>
      <c r="H25" s="673">
        <f>+'211 Police'!J56</f>
        <v>51600</v>
      </c>
      <c r="I25" s="673">
        <f>+'211 Police'!L56</f>
        <v>53000</v>
      </c>
      <c r="J25" s="673">
        <f>+'211 Police'!M56</f>
        <v>53000</v>
      </c>
      <c r="K25" s="29">
        <f t="shared" si="7"/>
        <v>11576</v>
      </c>
      <c r="L25" s="769">
        <f t="shared" si="8"/>
        <v>0.27950000000000003</v>
      </c>
      <c r="M25" s="673">
        <f t="shared" si="9"/>
        <v>1400</v>
      </c>
      <c r="N25" s="676">
        <f t="shared" si="10"/>
        <v>2.7099999999999999E-2</v>
      </c>
    </row>
    <row r="26" spans="1:14" x14ac:dyDescent="0.2">
      <c r="A26" s="672">
        <f>+'Working Budget with funding det'!A54</f>
        <v>212</v>
      </c>
      <c r="B26" s="672" t="str">
        <f>+'Working Budget with funding det'!B54</f>
        <v>DISPATCH</v>
      </c>
      <c r="C26" s="673">
        <f>+'212 Dispatch'!C26</f>
        <v>219830.37</v>
      </c>
      <c r="D26" s="673">
        <f>+'212 Dispatch'!D26</f>
        <v>247066.76000000004</v>
      </c>
      <c r="E26" s="673">
        <f>+'212 Dispatch'!E26</f>
        <v>261015.62</v>
      </c>
      <c r="F26" s="673">
        <f>+'212 Dispatch'!G26</f>
        <v>268261.88000000006</v>
      </c>
      <c r="G26" s="673">
        <f>+'212 Dispatch'!H26</f>
        <v>297260.07</v>
      </c>
      <c r="H26" s="673">
        <f>+'212 Dispatch'!J26</f>
        <v>312299</v>
      </c>
      <c r="I26" s="673">
        <f>+'212 Dispatch'!L26</f>
        <v>311584</v>
      </c>
      <c r="J26" s="673">
        <f>+'212 Dispatch'!M26</f>
        <v>311584</v>
      </c>
      <c r="K26" s="29">
        <f t="shared" si="7"/>
        <v>14323.929999999993</v>
      </c>
      <c r="L26" s="769">
        <f t="shared" si="8"/>
        <v>4.82E-2</v>
      </c>
      <c r="M26" s="673">
        <f t="shared" si="9"/>
        <v>-715</v>
      </c>
      <c r="N26" s="676">
        <f t="shared" si="10"/>
        <v>-2.3E-3</v>
      </c>
    </row>
    <row r="27" spans="1:14" x14ac:dyDescent="0.2">
      <c r="A27" s="672">
        <f>+'Working Budget with funding det'!A55</f>
        <v>241</v>
      </c>
      <c r="B27" s="672" t="str">
        <f>+'Working Budget with funding det'!B55</f>
        <v>BUILDING INSPECTOR</v>
      </c>
      <c r="C27" s="673">
        <f>+'241 Bldg'!C34</f>
        <v>111725.37000000001</v>
      </c>
      <c r="D27" s="673">
        <f>+'241 Bldg'!D34</f>
        <v>114463.61999999998</v>
      </c>
      <c r="E27" s="673">
        <f>+'241 Bldg'!E34</f>
        <v>118337.56</v>
      </c>
      <c r="F27" s="673">
        <f>+'241 Bldg'!G34</f>
        <v>124191.90999999999</v>
      </c>
      <c r="G27" s="673">
        <f>+'241 Bldg'!H34</f>
        <v>142151.04999999999</v>
      </c>
      <c r="H27" s="673">
        <f>+'241 Bldg'!J34</f>
        <v>140080</v>
      </c>
      <c r="I27" s="673">
        <f>+'241 Bldg'!L34</f>
        <v>141444</v>
      </c>
      <c r="J27" s="673">
        <f>+'241 Bldg'!M34</f>
        <v>141444</v>
      </c>
      <c r="K27" s="29">
        <f t="shared" si="7"/>
        <v>-707.04999999998836</v>
      </c>
      <c r="L27" s="769">
        <f t="shared" si="8"/>
        <v>-5.0000000000000001E-3</v>
      </c>
      <c r="M27" s="673">
        <f t="shared" si="9"/>
        <v>1364</v>
      </c>
      <c r="N27" s="676">
        <f t="shared" si="10"/>
        <v>9.7000000000000003E-3</v>
      </c>
    </row>
    <row r="28" spans="1:14" x14ac:dyDescent="0.2">
      <c r="A28" s="672">
        <f>+'Working Budget with funding det'!A56</f>
        <v>244</v>
      </c>
      <c r="B28" s="672" t="str">
        <f>+'Working Budget with funding det'!B56</f>
        <v xml:space="preserve">SEALER OF WEIGHTS </v>
      </c>
      <c r="C28" s="673">
        <f>+'244 Sealer'!C12</f>
        <v>2750</v>
      </c>
      <c r="D28" s="673">
        <f>+'244 Sealer'!D12</f>
        <v>2750</v>
      </c>
      <c r="E28" s="673">
        <f>+'244 Sealer'!E12</f>
        <v>2750</v>
      </c>
      <c r="F28" s="673">
        <f>+'244 Sealer'!G12</f>
        <v>2750</v>
      </c>
      <c r="G28" s="673">
        <f>+'244 Sealer'!H12</f>
        <v>2750</v>
      </c>
      <c r="H28" s="673">
        <f>+'244 Sealer'!J12</f>
        <v>2750</v>
      </c>
      <c r="I28" s="673">
        <f>+'244 Sealer'!L12</f>
        <v>2750</v>
      </c>
      <c r="J28" s="673">
        <f>+'244 Sealer'!M12</f>
        <v>2750</v>
      </c>
      <c r="K28" s="29">
        <f t="shared" si="7"/>
        <v>0</v>
      </c>
      <c r="L28" s="769">
        <f t="shared" si="8"/>
        <v>0</v>
      </c>
      <c r="M28" s="673">
        <f t="shared" si="9"/>
        <v>0</v>
      </c>
      <c r="N28" s="676">
        <f t="shared" si="10"/>
        <v>0</v>
      </c>
    </row>
    <row r="29" spans="1:14" x14ac:dyDescent="0.2">
      <c r="A29" s="672">
        <f>+'Working Budget with funding det'!A57</f>
        <v>291</v>
      </c>
      <c r="B29" s="672" t="str">
        <f>+'Working Budget with funding det'!B57</f>
        <v>EMERGENCY MANAGEMENT</v>
      </c>
      <c r="C29" s="673">
        <f>+'291 Emergency'!C16</f>
        <v>5490</v>
      </c>
      <c r="D29" s="673">
        <f>+'291 Emergency'!D16</f>
        <v>5590</v>
      </c>
      <c r="E29" s="673">
        <f>+'291 Emergency'!E16</f>
        <v>5590</v>
      </c>
      <c r="F29" s="673">
        <f>+'291 Emergency'!G16</f>
        <v>5490</v>
      </c>
      <c r="G29" s="673">
        <f>+'291 Emergency'!H16</f>
        <v>5490</v>
      </c>
      <c r="H29" s="673">
        <f>+'291 Emergency'!J16</f>
        <v>5765</v>
      </c>
      <c r="I29" s="673">
        <f>+'291 Emergency'!L16</f>
        <v>5765</v>
      </c>
      <c r="J29" s="673">
        <f>+'291 Emergency'!M16</f>
        <v>5765</v>
      </c>
      <c r="K29" s="29">
        <f t="shared" si="7"/>
        <v>275</v>
      </c>
      <c r="L29" s="769">
        <f t="shared" si="8"/>
        <v>5.0099999999999999E-2</v>
      </c>
      <c r="M29" s="673">
        <f t="shared" si="9"/>
        <v>0</v>
      </c>
      <c r="N29" s="676">
        <f t="shared" si="10"/>
        <v>0</v>
      </c>
    </row>
    <row r="30" spans="1:14" x14ac:dyDescent="0.2">
      <c r="A30" s="672">
        <f>+'Working Budget with funding det'!A58</f>
        <v>292</v>
      </c>
      <c r="B30" s="672" t="str">
        <f>+'Working Budget with funding det'!B58</f>
        <v>ANIMAL CONTROL</v>
      </c>
      <c r="C30" s="673">
        <f>+'292 Animal'!C21</f>
        <v>3869.81</v>
      </c>
      <c r="D30" s="673">
        <f>+'292 Animal'!D21</f>
        <v>12240.720000000001</v>
      </c>
      <c r="E30" s="673">
        <f>+'292 Animal'!E21</f>
        <v>16352.41</v>
      </c>
      <c r="F30" s="673">
        <f>+'292 Animal'!G21</f>
        <v>17994.600000000002</v>
      </c>
      <c r="G30" s="673">
        <f>+'292 Animal'!H21</f>
        <v>26165.239999999998</v>
      </c>
      <c r="H30" s="673">
        <f>+'292 Animal'!J21</f>
        <v>20057</v>
      </c>
      <c r="I30" s="673">
        <f>+'292 Animal'!L21</f>
        <v>20414</v>
      </c>
      <c r="J30" s="673">
        <f>+'292 Animal'!M21</f>
        <v>20414</v>
      </c>
      <c r="K30" s="29">
        <f t="shared" si="7"/>
        <v>-5751.239999999998</v>
      </c>
      <c r="L30" s="769">
        <f t="shared" si="8"/>
        <v>-0.2198</v>
      </c>
      <c r="M30" s="673">
        <f t="shared" si="9"/>
        <v>357</v>
      </c>
      <c r="N30" s="676">
        <f t="shared" si="10"/>
        <v>1.78E-2</v>
      </c>
    </row>
    <row r="31" spans="1:14" x14ac:dyDescent="0.2">
      <c r="A31" s="672">
        <f>+'Working Budget with funding det'!A60</f>
        <v>294</v>
      </c>
      <c r="B31" s="672" t="str">
        <f>+'Working Budget with funding det'!B60</f>
        <v>FOREST WARDEN</v>
      </c>
      <c r="C31" s="673">
        <f>+'294 Forest Warden'!C12</f>
        <v>1584</v>
      </c>
      <c r="D31" s="673">
        <f>+'294 Forest Warden'!D12</f>
        <v>1631</v>
      </c>
      <c r="E31" s="673">
        <f>+'294 Forest Warden'!E12</f>
        <v>1631</v>
      </c>
      <c r="F31" s="673">
        <f>+'294 Forest Warden'!G12</f>
        <v>1631</v>
      </c>
      <c r="G31" s="673">
        <f>+'294 Forest Warden'!H12</f>
        <v>1631</v>
      </c>
      <c r="H31" s="673">
        <f>+'294 Forest Warden'!J12</f>
        <v>1710</v>
      </c>
      <c r="I31" s="673">
        <f>+'294 Forest Warden'!L12</f>
        <v>1710</v>
      </c>
      <c r="J31" s="673">
        <f>+'294 Forest Warden'!M12</f>
        <v>1710</v>
      </c>
      <c r="K31" s="29">
        <f t="shared" si="7"/>
        <v>79</v>
      </c>
      <c r="L31" s="769">
        <f t="shared" si="8"/>
        <v>4.8399999999999999E-2</v>
      </c>
      <c r="M31" s="673">
        <f>+I31-H31</f>
        <v>0</v>
      </c>
      <c r="N31" s="676">
        <f>ROUND((+M31/H31),4)</f>
        <v>0</v>
      </c>
    </row>
    <row r="32" spans="1:14" x14ac:dyDescent="0.2">
      <c r="A32" s="672">
        <f>+'Working Budget with funding det'!A61</f>
        <v>299</v>
      </c>
      <c r="B32" s="672" t="str">
        <f>+'Working Budget with funding det'!B61</f>
        <v>TREE WARDEN</v>
      </c>
      <c r="C32" s="677">
        <f>+'299 Tree Warden'!C19</f>
        <v>11817.089999999998</v>
      </c>
      <c r="D32" s="677">
        <f>+'299 Tree Warden'!D19</f>
        <v>11889.699999999999</v>
      </c>
      <c r="E32" s="677">
        <f>+'299 Tree Warden'!E19</f>
        <v>12951.44</v>
      </c>
      <c r="F32" s="677">
        <f>+'299 Tree Warden'!G19</f>
        <v>13716</v>
      </c>
      <c r="G32" s="677">
        <f>+'299 Tree Warden'!H19</f>
        <v>16680.8</v>
      </c>
      <c r="H32" s="677">
        <f>+'299 Tree Warden'!J19</f>
        <v>18285</v>
      </c>
      <c r="I32" s="677">
        <f>+'299 Tree Warden'!L19</f>
        <v>20285</v>
      </c>
      <c r="J32" s="677">
        <f>+'299 Tree Warden'!M19</f>
        <v>20285</v>
      </c>
      <c r="K32" s="855">
        <f t="shared" si="7"/>
        <v>3604.2000000000007</v>
      </c>
      <c r="L32" s="856">
        <f t="shared" si="8"/>
        <v>0.21609999999999999</v>
      </c>
      <c r="M32" s="677">
        <f>+I32-H32</f>
        <v>2000</v>
      </c>
      <c r="N32" s="676">
        <f>ROUND((+M32/H32),4)</f>
        <v>0.1094</v>
      </c>
    </row>
    <row r="33" spans="1:14" x14ac:dyDescent="0.2">
      <c r="B33" s="672" t="str">
        <f>+'Working Budget with funding det'!B63</f>
        <v>TOTAL PUBLIC SAFETY</v>
      </c>
      <c r="C33" s="673">
        <f t="shared" ref="C33:G33" si="11">SUM(C24:C32)</f>
        <v>1596976.3</v>
      </c>
      <c r="D33" s="673">
        <f t="shared" si="11"/>
        <v>1698239.5899999999</v>
      </c>
      <c r="E33" s="673">
        <f t="shared" si="11"/>
        <v>1828680.6299999997</v>
      </c>
      <c r="F33" s="673">
        <f t="shared" si="11"/>
        <v>1944187.5400000003</v>
      </c>
      <c r="G33" s="673">
        <f t="shared" si="11"/>
        <v>1842764.5700000003</v>
      </c>
      <c r="H33" s="673">
        <f>SUM(H24:H32)</f>
        <v>2205083</v>
      </c>
      <c r="I33" s="673">
        <f>SUM(I24:I32)</f>
        <v>2255071</v>
      </c>
      <c r="J33" s="673">
        <f>SUM(J24:J32)</f>
        <v>2255071</v>
      </c>
      <c r="K33" s="29">
        <f t="shared" si="7"/>
        <v>412306.4299999997</v>
      </c>
      <c r="L33" s="769">
        <f t="shared" si="8"/>
        <v>0.22370000000000001</v>
      </c>
      <c r="M33" s="673">
        <f>SUM(M24:M32)</f>
        <v>49988</v>
      </c>
      <c r="N33" s="676">
        <f>ROUND((+M33/H33),4)</f>
        <v>2.2700000000000001E-2</v>
      </c>
    </row>
    <row r="34" spans="1:14" x14ac:dyDescent="0.2">
      <c r="K34" s="4"/>
      <c r="L34" s="4"/>
    </row>
    <row r="35" spans="1:14" x14ac:dyDescent="0.2">
      <c r="B35" s="672" t="str">
        <f>+'Working Budget with funding det'!B65</f>
        <v>PUBLIC WORKS</v>
      </c>
      <c r="K35" s="4"/>
      <c r="L35" s="4"/>
    </row>
    <row r="36" spans="1:14" x14ac:dyDescent="0.2">
      <c r="A36" s="672">
        <f>+'Working Budget with funding det'!A66</f>
        <v>420</v>
      </c>
      <c r="B36" s="672" t="str">
        <f>+'Working Budget with funding det'!B66</f>
        <v>DEPT OF PUBLIC WORKS</v>
      </c>
      <c r="C36" s="673">
        <f>+'420 DPW'!C60</f>
        <v>961847.43</v>
      </c>
      <c r="D36" s="673">
        <f>+'420 DPW'!D60</f>
        <v>1059583.8599999999</v>
      </c>
      <c r="E36" s="673">
        <f>+'420 DPW'!E60</f>
        <v>1131643.6700000004</v>
      </c>
      <c r="F36" s="673">
        <f>+'420 DPW'!G60</f>
        <v>1120246.68</v>
      </c>
      <c r="G36" s="673">
        <f>+'420 DPW'!H60</f>
        <v>1203442.93</v>
      </c>
      <c r="H36" s="673">
        <f>+'420 DPW'!J55+'420 DPW'!J17</f>
        <v>1407163</v>
      </c>
      <c r="I36" s="673">
        <f>+'420 DPW'!L60-I37</f>
        <v>1441408</v>
      </c>
      <c r="J36" s="673">
        <f>+'420 DPW'!M60-J37</f>
        <v>1441408</v>
      </c>
      <c r="K36" s="29">
        <f t="shared" ref="K36:K42" si="12">+I36-G36</f>
        <v>237965.07000000007</v>
      </c>
      <c r="L36" s="769">
        <f t="shared" ref="L36:L42" si="13">ROUND((+K36/G36),4)</f>
        <v>0.19769999999999999</v>
      </c>
      <c r="M36" s="673">
        <f t="shared" ref="M36:M42" si="14">+I36-H36</f>
        <v>34245</v>
      </c>
      <c r="N36" s="676">
        <f t="shared" ref="N36:N42" si="15">ROUND((+M36/H36),4)</f>
        <v>2.4299999999999999E-2</v>
      </c>
    </row>
    <row r="37" spans="1:14" x14ac:dyDescent="0.2">
      <c r="A37" s="672">
        <v>420</v>
      </c>
      <c r="B37" s="672" t="s">
        <v>1175</v>
      </c>
      <c r="H37" s="673">
        <f>+'420 DPW'!J57</f>
        <v>24090</v>
      </c>
      <c r="I37" s="673">
        <f>+'422 Maintenance'!L52</f>
        <v>24090</v>
      </c>
      <c r="J37" s="673">
        <f>+'422 Maintenance'!M52</f>
        <v>24090</v>
      </c>
      <c r="K37" s="29"/>
      <c r="L37" s="769"/>
      <c r="M37" s="673">
        <f t="shared" si="14"/>
        <v>0</v>
      </c>
      <c r="N37" s="676">
        <f t="shared" si="15"/>
        <v>0</v>
      </c>
    </row>
    <row r="38" spans="1:14" x14ac:dyDescent="0.2">
      <c r="A38" s="672">
        <f>+'Working Budget with funding det'!A68</f>
        <v>423</v>
      </c>
      <c r="B38" s="672" t="str">
        <f>+'Working Budget with funding det'!B68</f>
        <v>SNOW &amp; ICE</v>
      </c>
      <c r="C38" s="673">
        <f>+'423 Snow'!C20</f>
        <v>160444.29999999999</v>
      </c>
      <c r="D38" s="673">
        <f>+'423 Snow'!D20</f>
        <v>210140.56</v>
      </c>
      <c r="E38" s="673">
        <f>+'423 Snow'!E20</f>
        <v>219244.89</v>
      </c>
      <c r="F38" s="673">
        <f>+'423 Snow'!G20</f>
        <v>205328.90000000002</v>
      </c>
      <c r="G38" s="673">
        <f>+'423 Snow'!H20</f>
        <v>222597.99</v>
      </c>
      <c r="H38" s="673">
        <f>+'423 Snow'!J20</f>
        <v>254250</v>
      </c>
      <c r="I38" s="673">
        <f>+'423 Snow'!L20</f>
        <v>278050</v>
      </c>
      <c r="J38" s="673">
        <f>+'423 Snow'!M20</f>
        <v>278050</v>
      </c>
      <c r="K38" s="29">
        <f t="shared" si="12"/>
        <v>55452.010000000009</v>
      </c>
      <c r="L38" s="769">
        <f t="shared" si="13"/>
        <v>0.24909999999999999</v>
      </c>
      <c r="M38" s="673">
        <f t="shared" si="14"/>
        <v>23800</v>
      </c>
      <c r="N38" s="676">
        <f t="shared" si="15"/>
        <v>9.3600000000000003E-2</v>
      </c>
    </row>
    <row r="39" spans="1:14" x14ac:dyDescent="0.2">
      <c r="A39" s="672">
        <f>+'Working Budget with funding det'!A69</f>
        <v>433</v>
      </c>
      <c r="B39" s="672" t="str">
        <f>+'Working Budget with funding det'!B69</f>
        <v>SOLID WASTE</v>
      </c>
      <c r="C39" s="673">
        <f>+'433 Solid Waste'!C26</f>
        <v>429438.93999999994</v>
      </c>
      <c r="D39" s="673">
        <f>+'433 Solid Waste'!D26</f>
        <v>431107.1</v>
      </c>
      <c r="E39" s="673">
        <f>+'433 Solid Waste'!E26</f>
        <v>408831.09</v>
      </c>
      <c r="F39" s="673">
        <f>+'433 Solid Waste'!G26</f>
        <v>424079.87999999995</v>
      </c>
      <c r="G39" s="673">
        <f>+'433 Solid Waste'!H26</f>
        <v>441302.8</v>
      </c>
      <c r="H39" s="673">
        <f>+'433 Solid Waste'!J26</f>
        <v>519983</v>
      </c>
      <c r="I39" s="673">
        <f>+'433 Solid Waste'!L26</f>
        <v>598886</v>
      </c>
      <c r="J39" s="673">
        <f>+'433 Solid Waste'!M26</f>
        <v>598886</v>
      </c>
      <c r="K39" s="29">
        <f t="shared" si="12"/>
        <v>157583.20000000001</v>
      </c>
      <c r="L39" s="769">
        <f t="shared" si="13"/>
        <v>0.35709999999999997</v>
      </c>
      <c r="M39" s="673">
        <f t="shared" si="14"/>
        <v>78903</v>
      </c>
      <c r="N39" s="676">
        <f t="shared" si="15"/>
        <v>0.1517</v>
      </c>
    </row>
    <row r="40" spans="1:14" x14ac:dyDescent="0.2">
      <c r="A40" s="672">
        <v>480</v>
      </c>
      <c r="B40" s="672" t="s">
        <v>1507</v>
      </c>
      <c r="I40" s="673">
        <f>+'480 Charging Stations'!L13</f>
        <v>7000</v>
      </c>
      <c r="J40" s="673">
        <f>+'480 Charging Stations'!M13</f>
        <v>7000</v>
      </c>
      <c r="K40" s="29"/>
      <c r="L40" s="769"/>
      <c r="M40" s="673">
        <f t="shared" ref="M40" si="16">+I40-H40</f>
        <v>7000</v>
      </c>
      <c r="N40" s="676" t="e">
        <f t="shared" ref="N40" si="17">ROUND((+M40/H40),4)</f>
        <v>#DIV/0!</v>
      </c>
    </row>
    <row r="41" spans="1:14" x14ac:dyDescent="0.2">
      <c r="A41" s="672">
        <f>+'Working Budget with funding det'!A71</f>
        <v>491</v>
      </c>
      <c r="B41" s="672" t="str">
        <f>+'Working Budget with funding det'!B71</f>
        <v>CEMETERIES</v>
      </c>
      <c r="C41" s="677">
        <f>+'491 Cemetery'!C17</f>
        <v>4741</v>
      </c>
      <c r="D41" s="677">
        <f>+'491 Cemetery'!D17</f>
        <v>2715</v>
      </c>
      <c r="E41" s="677">
        <f>+'491 Cemetery'!E17</f>
        <v>5850</v>
      </c>
      <c r="F41" s="677">
        <f>+'491 Cemetery'!G17</f>
        <v>6040</v>
      </c>
      <c r="G41" s="677">
        <f>+'491 Cemetery'!H17</f>
        <v>5440</v>
      </c>
      <c r="H41" s="677">
        <f>+'491 Cemetery'!J17</f>
        <v>7000</v>
      </c>
      <c r="I41" s="677">
        <f>+'491 Cemetery'!L17</f>
        <v>7000</v>
      </c>
      <c r="J41" s="677">
        <f>+'491 Cemetery'!M17</f>
        <v>7000</v>
      </c>
      <c r="K41" s="29">
        <f t="shared" si="12"/>
        <v>1560</v>
      </c>
      <c r="L41" s="769">
        <f t="shared" si="13"/>
        <v>0.2868</v>
      </c>
      <c r="M41" s="677">
        <f t="shared" si="14"/>
        <v>0</v>
      </c>
      <c r="N41" s="676">
        <f t="shared" si="15"/>
        <v>0</v>
      </c>
    </row>
    <row r="42" spans="1:14" x14ac:dyDescent="0.2">
      <c r="B42" s="672" t="str">
        <f>+'Working Budget with funding det'!B73</f>
        <v>TOTAL PUBLIC WORKS</v>
      </c>
      <c r="C42" s="673">
        <f t="shared" ref="C42:J42" si="18">SUM(C36:C41)</f>
        <v>1556471.67</v>
      </c>
      <c r="D42" s="673">
        <f t="shared" si="18"/>
        <v>1703546.52</v>
      </c>
      <c r="E42" s="673">
        <f t="shared" si="18"/>
        <v>1765569.6500000006</v>
      </c>
      <c r="F42" s="673">
        <f t="shared" si="18"/>
        <v>1755695.46</v>
      </c>
      <c r="G42" s="673">
        <f t="shared" si="18"/>
        <v>1872783.72</v>
      </c>
      <c r="H42" s="673">
        <f t="shared" si="18"/>
        <v>2212486</v>
      </c>
      <c r="I42" s="673">
        <f t="shared" si="18"/>
        <v>2356434</v>
      </c>
      <c r="J42" s="673">
        <f t="shared" si="18"/>
        <v>2356434</v>
      </c>
      <c r="K42" s="29">
        <f t="shared" si="12"/>
        <v>483650.28</v>
      </c>
      <c r="L42" s="769">
        <f t="shared" si="13"/>
        <v>0.25829999999999997</v>
      </c>
      <c r="M42" s="673">
        <f t="shared" si="14"/>
        <v>143948</v>
      </c>
      <c r="N42" s="676">
        <f t="shared" si="15"/>
        <v>6.5100000000000005E-2</v>
      </c>
    </row>
    <row r="43" spans="1:14" x14ac:dyDescent="0.2">
      <c r="K43" s="4"/>
      <c r="L43" s="4"/>
    </row>
    <row r="44" spans="1:14" x14ac:dyDescent="0.2">
      <c r="B44" s="672" t="str">
        <f>+'Working Budget with funding det'!B75</f>
        <v>HUMAN SERVICES</v>
      </c>
      <c r="K44" s="4"/>
      <c r="L44" s="4"/>
    </row>
    <row r="45" spans="1:14" x14ac:dyDescent="0.2">
      <c r="K45" s="4"/>
      <c r="L45" s="4"/>
    </row>
    <row r="46" spans="1:14" x14ac:dyDescent="0.2">
      <c r="A46" s="672">
        <f>+'Working Budget with funding det'!A77</f>
        <v>511</v>
      </c>
      <c r="B46" s="672" t="str">
        <f>+'Working Budget with funding det'!B77</f>
        <v>BOARD OF HEALTH</v>
      </c>
      <c r="C46" s="678">
        <f>+'511 BOH'!C38</f>
        <v>109258.64</v>
      </c>
      <c r="D46" s="678">
        <f>+'511 BOH'!D38</f>
        <v>120985.98999999999</v>
      </c>
      <c r="E46" s="678">
        <f>+'511 BOH'!E38</f>
        <v>119109.4</v>
      </c>
      <c r="F46" s="678">
        <f>+'511 BOH'!G38</f>
        <v>128828.22999999998</v>
      </c>
      <c r="G46" s="678">
        <f>+'511 BOH'!H38</f>
        <v>132189.9</v>
      </c>
      <c r="H46" s="678">
        <f>+'511 BOH'!J38</f>
        <v>146732</v>
      </c>
      <c r="I46" s="678">
        <f>+'511 BOH'!L38</f>
        <v>135948</v>
      </c>
      <c r="J46" s="678">
        <f>+'511 BOH'!M38</f>
        <v>135948</v>
      </c>
      <c r="K46" s="27">
        <f>+I46-G46</f>
        <v>3758.1000000000058</v>
      </c>
      <c r="L46" s="854">
        <f>ROUND((+K46/G46),4)</f>
        <v>2.8400000000000002E-2</v>
      </c>
      <c r="M46" s="678">
        <f>+I46-H46</f>
        <v>-10784</v>
      </c>
      <c r="N46" s="676">
        <f>ROUND((+M46/H46),4)</f>
        <v>-7.3499999999999996E-2</v>
      </c>
    </row>
    <row r="47" spans="1:14" x14ac:dyDescent="0.2">
      <c r="A47" s="672">
        <f>+'Working Budget with funding det'!A78</f>
        <v>541</v>
      </c>
      <c r="B47" s="672" t="str">
        <f>+'Working Budget with funding det'!B78</f>
        <v>COUNCIL ON AGING</v>
      </c>
      <c r="C47" s="673">
        <f>+'541 COA'!C26</f>
        <v>27212.79</v>
      </c>
      <c r="D47" s="673">
        <f>+'541 COA'!D26</f>
        <v>36745</v>
      </c>
      <c r="E47" s="673">
        <f>+'541 COA'!E26</f>
        <v>37843.519999999997</v>
      </c>
      <c r="F47" s="673">
        <f>+'541 COA'!G26</f>
        <v>42457.31</v>
      </c>
      <c r="G47" s="673">
        <f>+'541 COA'!H26</f>
        <v>42878.82</v>
      </c>
      <c r="H47" s="673">
        <f>+'541 COA'!J26</f>
        <v>46031</v>
      </c>
      <c r="I47" s="673">
        <f>+'541 COA'!L26</f>
        <v>46980</v>
      </c>
      <c r="J47" s="673">
        <f>+'541 COA'!M26</f>
        <v>46980</v>
      </c>
      <c r="K47" s="29">
        <f>+I47-G47</f>
        <v>4101.18</v>
      </c>
      <c r="L47" s="769">
        <f>ROUND((+K47/G47),4)</f>
        <v>9.5600000000000004E-2</v>
      </c>
      <c r="M47" s="673">
        <f>+I47-H47</f>
        <v>949</v>
      </c>
      <c r="N47" s="676">
        <f>ROUND((+M47/H47),4)</f>
        <v>2.06E-2</v>
      </c>
    </row>
    <row r="48" spans="1:14" x14ac:dyDescent="0.2">
      <c r="A48" s="672">
        <f>+'Working Budget with funding det'!A79</f>
        <v>543</v>
      </c>
      <c r="B48" s="672" t="str">
        <f>+'Working Budget with funding det'!B79</f>
        <v>VETERANS' SERVICES</v>
      </c>
      <c r="C48" s="677">
        <f>+'543 Vets'!C15</f>
        <v>143993.04</v>
      </c>
      <c r="D48" s="677">
        <f>+'543 Vets'!D15</f>
        <v>154826.14000000001</v>
      </c>
      <c r="E48" s="677">
        <f>+'543 Vets'!E15</f>
        <v>161951.34</v>
      </c>
      <c r="F48" s="677">
        <f>+'543 Vets'!G15</f>
        <v>113174.07</v>
      </c>
      <c r="G48" s="677">
        <f>+'543 Vets'!H15</f>
        <v>84869.32</v>
      </c>
      <c r="H48" s="677">
        <f>+'543 Vets'!J15</f>
        <v>96600</v>
      </c>
      <c r="I48" s="677">
        <f>+'543 Vets'!L15</f>
        <v>98400</v>
      </c>
      <c r="J48" s="677">
        <f>+'543 Vets'!M15</f>
        <v>98400</v>
      </c>
      <c r="K48" s="29">
        <f>+I48-G48</f>
        <v>13530.679999999993</v>
      </c>
      <c r="L48" s="769">
        <f>ROUND((+K48/G48),4)</f>
        <v>0.15939999999999999</v>
      </c>
      <c r="M48" s="677">
        <f>+I48-H48</f>
        <v>1800</v>
      </c>
      <c r="N48" s="676">
        <f>ROUND((+M48/H48),4)</f>
        <v>1.8599999999999998E-2</v>
      </c>
    </row>
    <row r="49" spans="1:14" x14ac:dyDescent="0.2">
      <c r="B49" s="672" t="str">
        <f>+'Working Budget with funding det'!B81</f>
        <v>TOTAL HUMAN SERVICES</v>
      </c>
      <c r="C49" s="673">
        <f t="shared" ref="C49:F49" si="19">SUM(C47:C48)</f>
        <v>171205.83000000002</v>
      </c>
      <c r="D49" s="673">
        <f t="shared" si="19"/>
        <v>191571.14</v>
      </c>
      <c r="E49" s="673">
        <f t="shared" si="19"/>
        <v>199794.86</v>
      </c>
      <c r="F49" s="673">
        <f t="shared" si="19"/>
        <v>155631.38</v>
      </c>
      <c r="G49" s="673">
        <f t="shared" ref="G49" si="20">SUM(G47:G48)</f>
        <v>127748.14000000001</v>
      </c>
      <c r="H49" s="673">
        <f>SUM(H46:H48)</f>
        <v>289363</v>
      </c>
      <c r="I49" s="673">
        <f t="shared" ref="I49:J49" si="21">SUM(I46:I48)</f>
        <v>281328</v>
      </c>
      <c r="J49" s="673">
        <f t="shared" si="21"/>
        <v>281328</v>
      </c>
      <c r="K49" s="29">
        <f>+I49-G49</f>
        <v>153579.85999999999</v>
      </c>
      <c r="L49" s="769">
        <f>ROUND((+K49/G49),4)</f>
        <v>1.2021999999999999</v>
      </c>
      <c r="M49" s="673">
        <f>+I49-H49</f>
        <v>-8035</v>
      </c>
      <c r="N49" s="676">
        <f>ROUND((+M49/H49),4)</f>
        <v>-2.7799999999999998E-2</v>
      </c>
    </row>
    <row r="50" spans="1:14" x14ac:dyDescent="0.2">
      <c r="K50" s="4"/>
      <c r="L50" s="4"/>
    </row>
    <row r="51" spans="1:14" x14ac:dyDescent="0.2">
      <c r="B51" s="672" t="str">
        <f>+'Working Budget with funding det'!B83</f>
        <v>CULTURE &amp; RECREATION</v>
      </c>
      <c r="K51" s="4"/>
      <c r="L51" s="4"/>
    </row>
    <row r="52" spans="1:14" x14ac:dyDescent="0.2">
      <c r="A52" s="672">
        <f>+'Working Budget with funding det'!A84</f>
        <v>610</v>
      </c>
      <c r="B52" s="672" t="str">
        <f>+'Working Budget with funding det'!B84</f>
        <v>LIBRARIES</v>
      </c>
      <c r="C52" s="673">
        <f>+'610 Library'!C42</f>
        <v>303901</v>
      </c>
      <c r="D52" s="673">
        <f>+'610 Library'!D42</f>
        <v>325233</v>
      </c>
      <c r="E52" s="673">
        <f>+'610 Library'!E42</f>
        <v>337643</v>
      </c>
      <c r="F52" s="673">
        <f>+'610 Library'!G42</f>
        <v>364970</v>
      </c>
      <c r="G52" s="673">
        <f>+'610 Library'!H42</f>
        <v>386328.00000000006</v>
      </c>
      <c r="H52" s="673">
        <f>+'610 Library'!J42</f>
        <v>411071</v>
      </c>
      <c r="I52" s="673">
        <f>+'610 Library'!L42</f>
        <v>426950</v>
      </c>
      <c r="J52" s="673">
        <f>+'610 Library'!M42</f>
        <v>426950</v>
      </c>
      <c r="K52" s="29">
        <f>+I52-G52</f>
        <v>40621.999999999942</v>
      </c>
      <c r="L52" s="769">
        <f>ROUND((+K52/G52),4)</f>
        <v>0.1051</v>
      </c>
      <c r="M52" s="673">
        <f>+I52-H52</f>
        <v>15879</v>
      </c>
      <c r="N52" s="676">
        <f>ROUND((+M52/H52),4)</f>
        <v>3.8600000000000002E-2</v>
      </c>
    </row>
    <row r="53" spans="1:14" x14ac:dyDescent="0.2">
      <c r="A53" s="672">
        <f>+'Working Budget with funding det'!A85</f>
        <v>630</v>
      </c>
      <c r="B53" s="672" t="str">
        <f>+'Working Budget with funding det'!B85</f>
        <v>PARKS &amp; RECREATION</v>
      </c>
      <c r="C53" s="673">
        <f>+'630 Recreation'!C27</f>
        <v>93539.86</v>
      </c>
      <c r="D53" s="673">
        <f>+'630 Recreation'!D27</f>
        <v>101235.73999999999</v>
      </c>
      <c r="E53" s="673">
        <f>+'630 Recreation'!E27</f>
        <v>104042.40999999999</v>
      </c>
      <c r="F53" s="673">
        <f>+'630 Recreation'!G27</f>
        <v>120911.25</v>
      </c>
      <c r="G53" s="673">
        <f>+'630 Recreation'!H27</f>
        <v>128193.00000000001</v>
      </c>
      <c r="H53" s="673">
        <f>+'630 Recreation'!J27</f>
        <v>139448</v>
      </c>
      <c r="I53" s="673">
        <f>+'630 Recreation'!L27</f>
        <v>143539</v>
      </c>
      <c r="J53" s="673">
        <f>+'630 Recreation'!M27</f>
        <v>143539</v>
      </c>
      <c r="K53" s="29">
        <f>+I53-G53</f>
        <v>15345.999999999985</v>
      </c>
      <c r="L53" s="769">
        <f>ROUND((+K53/G53),4)</f>
        <v>0.1197</v>
      </c>
      <c r="M53" s="673">
        <f>+I53-H53</f>
        <v>4091</v>
      </c>
      <c r="N53" s="676">
        <f>ROUND((+M53/H53),4)</f>
        <v>2.93E-2</v>
      </c>
    </row>
    <row r="54" spans="1:14" x14ac:dyDescent="0.2">
      <c r="A54" s="672">
        <f>+'Working Budget with funding det'!A86</f>
        <v>691</v>
      </c>
      <c r="B54" s="672" t="str">
        <f>+'Working Budget with funding det'!B86</f>
        <v>HISTORICAL COMMISSION</v>
      </c>
      <c r="C54" s="673">
        <f>+'691 Historical Comm'!C15</f>
        <v>253.28</v>
      </c>
      <c r="D54" s="673">
        <f>+'691 Historical Comm'!D15</f>
        <v>0</v>
      </c>
      <c r="E54" s="673">
        <f>+'691 Historical Comm'!E15</f>
        <v>434.33</v>
      </c>
      <c r="F54" s="673">
        <f>+'691 Historical Comm'!G15</f>
        <v>0</v>
      </c>
      <c r="G54" s="673">
        <f>+'691 Historical Comm'!H15</f>
        <v>253.19</v>
      </c>
      <c r="H54" s="673">
        <f>+'691 Historical Comm'!J15</f>
        <v>500</v>
      </c>
      <c r="I54" s="673">
        <f>+'691 Historical Comm'!L15</f>
        <v>500</v>
      </c>
      <c r="J54" s="673">
        <f>+'691 Historical Comm'!M15</f>
        <v>500</v>
      </c>
      <c r="K54" s="29">
        <f>+I54-G54</f>
        <v>246.81</v>
      </c>
      <c r="L54" s="769">
        <f>ROUND((+K54/G54),4)</f>
        <v>0.9748</v>
      </c>
      <c r="M54" s="673">
        <f>+I54-H54</f>
        <v>0</v>
      </c>
      <c r="N54" s="676">
        <f>ROUND((+M54/H54),4)</f>
        <v>0</v>
      </c>
    </row>
    <row r="55" spans="1:14" x14ac:dyDescent="0.2">
      <c r="A55" s="672">
        <f>+'Working Budget with funding det'!A87</f>
        <v>693</v>
      </c>
      <c r="B55" s="672" t="str">
        <f>+'Working Budget with funding det'!B87</f>
        <v>WAR MEMORIALS</v>
      </c>
      <c r="C55" s="677">
        <f>+'693 Memorials'!C14</f>
        <v>1230.25</v>
      </c>
      <c r="D55" s="677">
        <f>+'693 Memorials'!D14</f>
        <v>819.41</v>
      </c>
      <c r="E55" s="677">
        <f>+'693 Memorials'!E14</f>
        <v>1049.43</v>
      </c>
      <c r="F55" s="677">
        <f>+'693 Memorials'!G14</f>
        <v>1188.96</v>
      </c>
      <c r="G55" s="677">
        <f>+'693 Memorials'!H14</f>
        <v>1200</v>
      </c>
      <c r="H55" s="677">
        <f>+'693 Memorials'!J14</f>
        <v>1300</v>
      </c>
      <c r="I55" s="677">
        <f>+'693 Memorials'!L14</f>
        <v>1300</v>
      </c>
      <c r="J55" s="677">
        <f>+'693 Memorials'!M14</f>
        <v>1300</v>
      </c>
      <c r="K55" s="29">
        <f>+I55-G55</f>
        <v>100</v>
      </c>
      <c r="L55" s="769">
        <f>ROUND((+K55/G55),4)</f>
        <v>8.3299999999999999E-2</v>
      </c>
      <c r="M55" s="677">
        <f>+I55-H55</f>
        <v>0</v>
      </c>
      <c r="N55" s="676">
        <f>ROUND((+M55/H55),4)</f>
        <v>0</v>
      </c>
    </row>
    <row r="56" spans="1:14" x14ac:dyDescent="0.2">
      <c r="B56" s="672" t="s">
        <v>1312</v>
      </c>
      <c r="C56" s="673">
        <f t="shared" ref="C56:J56" si="22">SUM(C52:C55)</f>
        <v>398924.39</v>
      </c>
      <c r="D56" s="673">
        <f t="shared" si="22"/>
        <v>427288.14999999997</v>
      </c>
      <c r="E56" s="673">
        <f t="shared" si="22"/>
        <v>443169.17</v>
      </c>
      <c r="F56" s="673">
        <f t="shared" si="22"/>
        <v>487070.21</v>
      </c>
      <c r="G56" s="673">
        <f t="shared" ref="G56:H56" si="23">SUM(G52:G55)</f>
        <v>515974.19000000006</v>
      </c>
      <c r="H56" s="673">
        <f t="shared" si="23"/>
        <v>552319</v>
      </c>
      <c r="I56" s="673">
        <f t="shared" si="22"/>
        <v>572289</v>
      </c>
      <c r="J56" s="673">
        <f t="shared" si="22"/>
        <v>572289</v>
      </c>
      <c r="K56" s="29">
        <f>+I56-G56</f>
        <v>56314.809999999939</v>
      </c>
      <c r="L56" s="769">
        <f>ROUND((+K56/G56),4)</f>
        <v>0.1091</v>
      </c>
      <c r="M56" s="673">
        <f>+I56-H56</f>
        <v>19970</v>
      </c>
      <c r="N56" s="676">
        <f>ROUND((+M56/H56),4)</f>
        <v>3.6200000000000003E-2</v>
      </c>
    </row>
    <row r="57" spans="1:14" x14ac:dyDescent="0.2">
      <c r="K57" s="4"/>
      <c r="L57" s="4"/>
    </row>
    <row r="58" spans="1:14" x14ac:dyDescent="0.2">
      <c r="B58" s="672" t="str">
        <f>+'Working Budget with funding det'!B91</f>
        <v>DEBT SERVICE</v>
      </c>
      <c r="K58" s="4"/>
      <c r="L58" s="4"/>
    </row>
    <row r="59" spans="1:14" x14ac:dyDescent="0.2">
      <c r="A59" s="672">
        <f>+'Working Budget with funding det'!A92</f>
        <v>700</v>
      </c>
      <c r="B59" s="672" t="str">
        <f>+'Working Budget with funding det'!B92</f>
        <v>DEBT SERVICE</v>
      </c>
      <c r="C59" s="673">
        <f>+'700 Debt '!C60</f>
        <v>624059.19999999995</v>
      </c>
      <c r="D59" s="673">
        <f>+'700 Debt '!D60</f>
        <v>627106.03000000014</v>
      </c>
      <c r="E59" s="673">
        <f>+'700 Debt '!E60</f>
        <v>653275.82999999996</v>
      </c>
      <c r="F59" s="673">
        <f>+'700 Debt '!G60</f>
        <v>655052.56000000006</v>
      </c>
      <c r="G59" s="673">
        <f>+'700 Debt '!H60</f>
        <v>630911.34</v>
      </c>
      <c r="H59" s="673">
        <f>+'700 Debt '!J60</f>
        <v>888793</v>
      </c>
      <c r="I59" s="673">
        <f>+'700 Debt '!L60</f>
        <v>1128500</v>
      </c>
      <c r="J59" s="673">
        <f>+'700 Debt '!M60</f>
        <v>1128500</v>
      </c>
      <c r="K59" s="29">
        <f>+I59-G59</f>
        <v>497588.66000000003</v>
      </c>
      <c r="L59" s="769">
        <f>ROUND((+K59/G59),4)</f>
        <v>0.78869999999999996</v>
      </c>
      <c r="M59" s="673">
        <f>+I59-H59</f>
        <v>239707</v>
      </c>
      <c r="N59" s="676">
        <f>ROUND((+M59/H59),4)</f>
        <v>0.2697</v>
      </c>
    </row>
    <row r="60" spans="1:14" x14ac:dyDescent="0.2">
      <c r="K60" s="4"/>
      <c r="L60" s="4"/>
    </row>
    <row r="61" spans="1:14" x14ac:dyDescent="0.2">
      <c r="B61" s="672" t="str">
        <f>+'Working Budget with funding det'!B94</f>
        <v>INTERGOVERNMENTAL</v>
      </c>
      <c r="K61" s="4"/>
      <c r="L61" s="4"/>
    </row>
    <row r="62" spans="1:14" x14ac:dyDescent="0.2">
      <c r="A62" s="672">
        <f>+'Working Budget with funding det'!A95</f>
        <v>840</v>
      </c>
      <c r="B62" s="672" t="str">
        <f>+'Working Budget with funding det'!B95</f>
        <v>INTERGOVERNMENTAL</v>
      </c>
      <c r="C62" s="673">
        <f>+'840 Intergovt'!C15</f>
        <v>83074.820000000007</v>
      </c>
      <c r="D62" s="673">
        <f>+'840 Intergovt'!D15</f>
        <v>87874.209999999992</v>
      </c>
      <c r="E62" s="673">
        <f>+'840 Intergovt'!E15</f>
        <v>71938.12</v>
      </c>
      <c r="F62" s="673">
        <f>+'840 Intergovt'!G15</f>
        <v>92495.299999999988</v>
      </c>
      <c r="G62" s="673">
        <f>+'840 Intergovt'!H15</f>
        <v>99251.89</v>
      </c>
      <c r="H62" s="673">
        <f>+'840 Intergovt'!J15</f>
        <v>104608</v>
      </c>
      <c r="I62" s="673">
        <f>+'840 Intergovt'!L15</f>
        <v>111179</v>
      </c>
      <c r="J62" s="673">
        <f>+'840 Intergovt'!M15</f>
        <v>111179</v>
      </c>
      <c r="K62" s="29">
        <f>+I62-G62</f>
        <v>11927.11</v>
      </c>
      <c r="L62" s="769">
        <f>ROUND((+K62/G62),4)</f>
        <v>0.1202</v>
      </c>
      <c r="M62" s="673">
        <f>+I62-H62</f>
        <v>6571</v>
      </c>
      <c r="N62" s="676">
        <f>ROUND((+M62/H62),4)</f>
        <v>6.2799999999999995E-2</v>
      </c>
    </row>
    <row r="63" spans="1:14" x14ac:dyDescent="0.2">
      <c r="I63" s="676"/>
      <c r="K63" s="4"/>
      <c r="L63" s="4"/>
    </row>
    <row r="64" spans="1:14" x14ac:dyDescent="0.2">
      <c r="B64" s="672" t="str">
        <f>+'Working Budget with funding det'!B97</f>
        <v>MISCELLANEOUS</v>
      </c>
      <c r="K64" s="4"/>
      <c r="L64" s="4"/>
    </row>
    <row r="65" spans="1:14" x14ac:dyDescent="0.2">
      <c r="A65" s="672">
        <f>+'Working Budget with funding det'!A98</f>
        <v>910</v>
      </c>
      <c r="B65" s="672" t="str">
        <f>+'Working Budget with funding det'!B98</f>
        <v>EMPLOYEE BENEFITS</v>
      </c>
      <c r="C65" s="673">
        <f>+'910 Benefits'!C20</f>
        <v>1760819.2100000002</v>
      </c>
      <c r="D65" s="673">
        <f>+'910 Benefits'!D20</f>
        <v>1730791.4</v>
      </c>
      <c r="E65" s="673">
        <f>+'910 Benefits'!E20</f>
        <v>1748594.09</v>
      </c>
      <c r="F65" s="673">
        <f>+'910 Benefits'!G20</f>
        <v>1878957.3699999999</v>
      </c>
      <c r="G65" s="673">
        <f>+'910 Benefits'!H20</f>
        <v>2008426.33</v>
      </c>
      <c r="H65" s="673">
        <f>+'910 Benefits'!J20</f>
        <v>2227951</v>
      </c>
      <c r="I65" s="673">
        <f>+'910 Benefits'!L20</f>
        <v>2298057</v>
      </c>
      <c r="J65" s="673">
        <f>+'910 Benefits'!M20</f>
        <v>2298057</v>
      </c>
      <c r="K65" s="29">
        <f>+I65-G65</f>
        <v>289630.66999999993</v>
      </c>
      <c r="L65" s="769">
        <f>ROUND((+K65/G65),4)</f>
        <v>0.14419999999999999</v>
      </c>
      <c r="M65" s="673">
        <f>+I65-H65</f>
        <v>70106</v>
      </c>
      <c r="N65" s="676">
        <f>ROUND((+M65/H65),4)</f>
        <v>3.15E-2</v>
      </c>
    </row>
    <row r="66" spans="1:14" x14ac:dyDescent="0.2">
      <c r="A66" s="672">
        <f>+'Working Budget with funding det'!A99</f>
        <v>946</v>
      </c>
      <c r="B66" s="672" t="str">
        <f>+'Working Budget with funding det'!B99</f>
        <v>GENERAL INSURANCE</v>
      </c>
      <c r="C66" s="677">
        <f>+'946 Insurance'!C22</f>
        <v>63586.85</v>
      </c>
      <c r="D66" s="677">
        <f>+'946 Insurance'!D22</f>
        <v>81915.03</v>
      </c>
      <c r="E66" s="677">
        <f>+'946 Insurance'!E22</f>
        <v>90801.61</v>
      </c>
      <c r="F66" s="677">
        <f>+'946 Insurance'!G22</f>
        <v>87959.99</v>
      </c>
      <c r="G66" s="677">
        <f>+'946 Insurance'!H22</f>
        <v>95065.72</v>
      </c>
      <c r="H66" s="677">
        <f>+'946 Insurance'!J22</f>
        <v>93275</v>
      </c>
      <c r="I66" s="677">
        <f>+'946 Insurance'!L22</f>
        <v>96000</v>
      </c>
      <c r="J66" s="677">
        <f>+'946 Insurance'!M22</f>
        <v>96000</v>
      </c>
      <c r="K66" s="29">
        <f>+I66-G66</f>
        <v>934.27999999999884</v>
      </c>
      <c r="L66" s="769">
        <f>ROUND((+K66/G66),4)</f>
        <v>9.7999999999999997E-3</v>
      </c>
      <c r="M66" s="677">
        <f>+I66-H66</f>
        <v>2725</v>
      </c>
      <c r="N66" s="676">
        <f>ROUND((+M66/H66),4)</f>
        <v>2.92E-2</v>
      </c>
    </row>
    <row r="67" spans="1:14" x14ac:dyDescent="0.2">
      <c r="B67" s="672" t="str">
        <f>+'Working Budget with funding det'!B101</f>
        <v>TOTAL MISCELLANEOUS</v>
      </c>
      <c r="C67" s="673">
        <f t="shared" ref="C67:J67" si="24">SUM(C65:C66)</f>
        <v>1824406.0600000003</v>
      </c>
      <c r="D67" s="673">
        <f t="shared" si="24"/>
        <v>1812706.43</v>
      </c>
      <c r="E67" s="673">
        <f t="shared" si="24"/>
        <v>1839395.7000000002</v>
      </c>
      <c r="F67" s="673">
        <f t="shared" si="24"/>
        <v>1966917.3599999999</v>
      </c>
      <c r="G67" s="673">
        <f t="shared" ref="G67:H67" si="25">SUM(G65:G66)</f>
        <v>2103492.0500000003</v>
      </c>
      <c r="H67" s="673">
        <f t="shared" si="25"/>
        <v>2321226</v>
      </c>
      <c r="I67" s="673">
        <f t="shared" si="24"/>
        <v>2394057</v>
      </c>
      <c r="J67" s="673">
        <f t="shared" si="24"/>
        <v>2394057</v>
      </c>
      <c r="K67" s="29">
        <f>+I67-G67</f>
        <v>290564.94999999972</v>
      </c>
      <c r="L67" s="769">
        <f>ROUND((+K67/G67),4)</f>
        <v>0.1381</v>
      </c>
      <c r="M67" s="673">
        <f>+I67-H67</f>
        <v>72831</v>
      </c>
      <c r="N67" s="676">
        <f>ROUND((+M67/H67),4)</f>
        <v>3.1399999999999997E-2</v>
      </c>
    </row>
    <row r="68" spans="1:14" x14ac:dyDescent="0.2">
      <c r="K68" s="4"/>
      <c r="L68" s="4"/>
    </row>
    <row r="69" spans="1:14" ht="15.75" thickBot="1" x14ac:dyDescent="0.25">
      <c r="B69" s="672" t="s">
        <v>1311</v>
      </c>
      <c r="C69" s="679">
        <f t="shared" ref="C69:J69" si="26">+C67+C62+C59+C56+C49+C42+C33+C21</f>
        <v>7265284.9000000004</v>
      </c>
      <c r="D69" s="679">
        <f t="shared" si="26"/>
        <v>7551191.96</v>
      </c>
      <c r="E69" s="679">
        <f t="shared" si="26"/>
        <v>7904599.5000000009</v>
      </c>
      <c r="F69" s="679">
        <f t="shared" si="26"/>
        <v>8252785.79</v>
      </c>
      <c r="G69" s="679">
        <f t="shared" si="26"/>
        <v>8381453.2700000005</v>
      </c>
      <c r="H69" s="679">
        <f t="shared" si="26"/>
        <v>9932943</v>
      </c>
      <c r="I69" s="679">
        <f t="shared" si="26"/>
        <v>10527445.210000001</v>
      </c>
      <c r="J69" s="679">
        <f t="shared" si="26"/>
        <v>10527445.210000001</v>
      </c>
      <c r="K69" s="4"/>
      <c r="L69" s="4"/>
      <c r="M69" s="679">
        <f>+I69-H69</f>
        <v>594502.21000000089</v>
      </c>
      <c r="N69" s="676">
        <f>ROUND((+M69/H69),4)</f>
        <v>5.9900000000000002E-2</v>
      </c>
    </row>
    <row r="70" spans="1:14" ht="15.75" thickTop="1" x14ac:dyDescent="0.2">
      <c r="D70" s="676">
        <f>ROUND(((+D69-C69)/C69),4)</f>
        <v>3.9399999999999998E-2</v>
      </c>
      <c r="E70" s="676">
        <f>ROUND(((+E69-D69)/D69),4)</f>
        <v>4.6800000000000001E-2</v>
      </c>
      <c r="F70" s="676"/>
      <c r="G70" s="676"/>
      <c r="H70" s="676"/>
      <c r="I70" s="676"/>
      <c r="J70" s="676"/>
    </row>
    <row r="71" spans="1:14" x14ac:dyDescent="0.2">
      <c r="B71" s="672" t="s">
        <v>1630</v>
      </c>
      <c r="H71" s="673">
        <f>+H69-'Debt Exclusion Calc.'!E27</f>
        <v>9241247</v>
      </c>
      <c r="I71" s="673">
        <f>+I69-'Debt Exclusion Calc.'!G27</f>
        <v>9549143.2100000009</v>
      </c>
      <c r="M71" s="673">
        <f>+I71-H71</f>
        <v>307896.21000000089</v>
      </c>
      <c r="N71" s="676">
        <f>ROUND((+M71/H71),4)</f>
        <v>3.3300000000000003E-2</v>
      </c>
    </row>
    <row r="75" spans="1:14" ht="15.75" thickBot="1" x14ac:dyDescent="0.25">
      <c r="C75" s="679"/>
    </row>
    <row r="76" spans="1:14" thickTop="1" x14ac:dyDescent="0.2">
      <c r="A76" s="49"/>
      <c r="B76" s="49"/>
      <c r="C76" s="760"/>
      <c r="D76" s="760"/>
      <c r="E76" s="760"/>
      <c r="F76" s="760"/>
      <c r="G76" s="760"/>
      <c r="H76" s="760"/>
      <c r="I76" s="760"/>
      <c r="J76" s="771" t="s">
        <v>1314</v>
      </c>
      <c r="K76" s="49"/>
      <c r="L76" s="49"/>
      <c r="M76" s="49"/>
      <c r="N76" s="49"/>
    </row>
    <row r="77" spans="1:14" ht="14.25" x14ac:dyDescent="0.2">
      <c r="A77" s="49"/>
      <c r="B77" s="49"/>
      <c r="C77" s="760"/>
      <c r="D77" s="760"/>
      <c r="E77" s="760"/>
      <c r="F77" s="760"/>
      <c r="G77" s="760"/>
      <c r="H77" s="760"/>
      <c r="I77" s="760"/>
      <c r="J77" s="771" t="s">
        <v>785</v>
      </c>
      <c r="K77" s="49" t="s">
        <v>1088</v>
      </c>
      <c r="L77" s="49"/>
      <c r="M77" s="49"/>
      <c r="N77" s="49"/>
    </row>
    <row r="78" spans="1:14" ht="14.25" x14ac:dyDescent="0.2">
      <c r="A78" s="49" t="s">
        <v>560</v>
      </c>
      <c r="B78" s="49"/>
      <c r="C78" s="772" t="s">
        <v>561</v>
      </c>
      <c r="D78" s="772" t="s">
        <v>561</v>
      </c>
      <c r="E78" s="772" t="s">
        <v>561</v>
      </c>
      <c r="F78" s="772" t="s">
        <v>561</v>
      </c>
      <c r="G78" s="772" t="s">
        <v>561</v>
      </c>
      <c r="H78" s="772" t="s">
        <v>463</v>
      </c>
      <c r="I78" s="771" t="s">
        <v>92</v>
      </c>
      <c r="J78" s="771" t="s">
        <v>784</v>
      </c>
      <c r="K78" s="771" t="s">
        <v>1089</v>
      </c>
      <c r="L78" s="49"/>
      <c r="M78" s="771" t="s">
        <v>1073</v>
      </c>
      <c r="N78" s="771" t="s">
        <v>682</v>
      </c>
    </row>
    <row r="79" spans="1:14" ht="14.25" x14ac:dyDescent="0.2">
      <c r="A79" s="49" t="s">
        <v>268</v>
      </c>
      <c r="B79" s="49"/>
      <c r="C79" s="772" t="s">
        <v>332</v>
      </c>
      <c r="D79" s="772" t="s">
        <v>78</v>
      </c>
      <c r="E79" s="772" t="s">
        <v>732</v>
      </c>
      <c r="F79" s="771" t="s">
        <v>881</v>
      </c>
      <c r="G79" s="771" t="s">
        <v>897</v>
      </c>
      <c r="H79" s="771" t="s">
        <v>899</v>
      </c>
      <c r="I79" s="771" t="s">
        <v>900</v>
      </c>
      <c r="J79" s="771" t="s">
        <v>900</v>
      </c>
      <c r="K79" s="49"/>
      <c r="L79" s="49"/>
      <c r="M79" s="773" t="s">
        <v>340</v>
      </c>
      <c r="N79" s="773" t="s">
        <v>1315</v>
      </c>
    </row>
    <row r="80" spans="1:14" ht="14.25" x14ac:dyDescent="0.2">
      <c r="A80" s="49"/>
      <c r="B80" s="49" t="str">
        <f>+'Working Budget with funding det'!B105</f>
        <v>WATER POLLUTION CONTROL</v>
      </c>
      <c r="C80" s="760"/>
      <c r="D80" s="760"/>
      <c r="E80" s="760"/>
      <c r="F80" s="760"/>
      <c r="G80" s="760"/>
      <c r="H80" s="760"/>
      <c r="I80" s="760"/>
      <c r="J80" s="760"/>
      <c r="K80" s="49"/>
      <c r="L80" s="49"/>
      <c r="M80" s="49"/>
      <c r="N80" s="49"/>
    </row>
    <row r="81" spans="1:15" ht="14.25" x14ac:dyDescent="0.2">
      <c r="A81" s="49">
        <f>+'Working Budget with funding det'!A106</f>
        <v>440</v>
      </c>
      <c r="B81" s="49" t="s">
        <v>562</v>
      </c>
      <c r="C81" s="760">
        <f>+'661 440 WPCF'!C43</f>
        <v>1232852.1600000001</v>
      </c>
      <c r="D81" s="760">
        <f>+'661 440 WPCF'!D43</f>
        <v>1332110.6000000001</v>
      </c>
      <c r="E81" s="760">
        <f>+'661 440 WPCF'!L43</f>
        <v>1585763</v>
      </c>
      <c r="F81" s="760">
        <f>+'661 440 WPCF'!G43</f>
        <v>1411401.52</v>
      </c>
      <c r="G81" s="760">
        <f>+'661 440 WPCF'!H43</f>
        <v>1459773.7000000002</v>
      </c>
      <c r="H81" s="760">
        <f>+'661 440 WPCF'!J43+130000</f>
        <v>1571754</v>
      </c>
      <c r="I81" s="760">
        <f>+'661 440 WPCF'!L43</f>
        <v>1585763</v>
      </c>
      <c r="J81" s="760">
        <f>+'661 440 WPCF'!M43</f>
        <v>1585763</v>
      </c>
      <c r="K81" s="760">
        <f>+I81-G81</f>
        <v>125989.29999999981</v>
      </c>
      <c r="L81" s="770">
        <f>ROUND((+K81/G81),4)</f>
        <v>8.6300000000000002E-2</v>
      </c>
      <c r="M81" s="760">
        <f t="shared" ref="M81:M83" si="27">+I81-H81</f>
        <v>14009</v>
      </c>
      <c r="N81" s="774">
        <f t="shared" ref="N81:N83" si="28">ROUND((+M81/H81),4)</f>
        <v>8.8999999999999999E-3</v>
      </c>
      <c r="O81" s="254" t="s">
        <v>1712</v>
      </c>
    </row>
    <row r="82" spans="1:15" ht="14.25" x14ac:dyDescent="0.2">
      <c r="A82" s="49">
        <f>+'Working Budget with funding det'!A108</f>
        <v>700</v>
      </c>
      <c r="B82" s="49" t="s">
        <v>326</v>
      </c>
      <c r="C82" s="760">
        <f>+'661 700 Debt'!C61</f>
        <v>339561.32000000007</v>
      </c>
      <c r="D82" s="760">
        <f>+'661 700 Debt'!D61</f>
        <v>333169.57</v>
      </c>
      <c r="E82" s="760">
        <f>+'661 700 Debt'!E61</f>
        <v>430365.07</v>
      </c>
      <c r="F82" s="760">
        <f>+'661 700 Debt'!G61</f>
        <v>432071.62</v>
      </c>
      <c r="G82" s="760">
        <f>+'661 700 Debt'!H61</f>
        <v>363646.25</v>
      </c>
      <c r="H82" s="760">
        <f>+'661 700 Debt'!J61</f>
        <v>533163</v>
      </c>
      <c r="I82" s="760">
        <f>+'661 700 Debt'!L61</f>
        <v>520551.47</v>
      </c>
      <c r="J82" s="760">
        <f>+'661 700 Debt'!M61</f>
        <v>520551.47</v>
      </c>
      <c r="K82" s="760">
        <f>+I82-G82</f>
        <v>156905.21999999997</v>
      </c>
      <c r="L82" s="770">
        <f>ROUND((+K82/G82),4)</f>
        <v>0.43149999999999999</v>
      </c>
      <c r="M82" s="760">
        <f t="shared" si="27"/>
        <v>-12611.530000000028</v>
      </c>
      <c r="N82" s="774">
        <f t="shared" si="28"/>
        <v>-2.3699999999999999E-2</v>
      </c>
    </row>
    <row r="83" spans="1:15" ht="14.25" x14ac:dyDescent="0.2">
      <c r="A83" s="49">
        <f>+'Working Budget with funding det'!A109</f>
        <v>910</v>
      </c>
      <c r="B83" s="49" t="s">
        <v>263</v>
      </c>
      <c r="C83" s="775">
        <f>+'661 910 Benefits'!C18</f>
        <v>162428.75000000003</v>
      </c>
      <c r="D83" s="775">
        <f>+'661 910 Benefits'!D18</f>
        <v>160893.16</v>
      </c>
      <c r="E83" s="775">
        <f>+'661 910 Benefits'!E18</f>
        <v>181400.05999999997</v>
      </c>
      <c r="F83" s="775">
        <f>+'661 910 Benefits'!G18</f>
        <v>221112.49</v>
      </c>
      <c r="G83" s="775">
        <f>+'661 910 Benefits'!H18</f>
        <v>224380.71000000002</v>
      </c>
      <c r="H83" s="775">
        <f>+'661 910 Benefits'!J18</f>
        <v>279702</v>
      </c>
      <c r="I83" s="775">
        <f>+'661 910 Benefits'!L18</f>
        <v>291954</v>
      </c>
      <c r="J83" s="775">
        <f>+'661 910 Benefits'!M18</f>
        <v>291954</v>
      </c>
      <c r="K83" s="760">
        <f>+I83-G83</f>
        <v>67573.289999999979</v>
      </c>
      <c r="L83" s="770">
        <f>ROUND((+K83/G83),4)</f>
        <v>0.30120000000000002</v>
      </c>
      <c r="M83" s="775">
        <f t="shared" si="27"/>
        <v>12252</v>
      </c>
      <c r="N83" s="774">
        <f t="shared" si="28"/>
        <v>4.3799999999999999E-2</v>
      </c>
    </row>
    <row r="84" spans="1:15" ht="14.25" x14ac:dyDescent="0.2">
      <c r="A84" s="49"/>
      <c r="B84" s="49" t="s">
        <v>974</v>
      </c>
      <c r="C84" s="760">
        <f t="shared" ref="C84:J84" si="29">SUM(C81:C83)</f>
        <v>1734842.2300000002</v>
      </c>
      <c r="D84" s="760">
        <f t="shared" si="29"/>
        <v>1826173.33</v>
      </c>
      <c r="E84" s="760">
        <f t="shared" si="29"/>
        <v>2197528.13</v>
      </c>
      <c r="F84" s="760">
        <f t="shared" si="29"/>
        <v>2064585.6300000001</v>
      </c>
      <c r="G84" s="760">
        <f t="shared" ref="G84:H84" si="30">SUM(G81:G83)</f>
        <v>2047800.6600000001</v>
      </c>
      <c r="H84" s="760">
        <f t="shared" si="30"/>
        <v>2384619</v>
      </c>
      <c r="I84" s="760">
        <f t="shared" si="29"/>
        <v>2398268.4699999997</v>
      </c>
      <c r="J84" s="760">
        <f t="shared" si="29"/>
        <v>2398268.4699999997</v>
      </c>
      <c r="K84" s="760">
        <f>+I84-G84</f>
        <v>350467.80999999959</v>
      </c>
      <c r="L84" s="770">
        <f>ROUND((+K84/G84),4)</f>
        <v>0.1711</v>
      </c>
      <c r="M84" s="760">
        <f>SUM(M81:M83)</f>
        <v>13649.469999999972</v>
      </c>
      <c r="N84" s="774"/>
    </row>
    <row r="85" spans="1:15" ht="14.25" x14ac:dyDescent="0.2">
      <c r="A85" s="49"/>
      <c r="B85" s="49"/>
      <c r="C85" s="760"/>
      <c r="D85" s="760"/>
      <c r="E85" s="760"/>
      <c r="F85" s="760"/>
      <c r="G85" s="760"/>
      <c r="H85" s="760"/>
      <c r="I85" s="760"/>
      <c r="J85" s="760"/>
      <c r="K85" s="49"/>
      <c r="L85" s="49"/>
      <c r="M85" s="49"/>
      <c r="N85" s="774"/>
    </row>
    <row r="86" spans="1:15" ht="14.25" hidden="1" x14ac:dyDescent="0.2">
      <c r="A86" s="49"/>
      <c r="B86" s="49"/>
      <c r="C86" s="760"/>
      <c r="D86" s="760"/>
      <c r="E86" s="760"/>
      <c r="F86" s="760"/>
      <c r="G86" s="760"/>
      <c r="H86" s="760"/>
      <c r="I86" s="760"/>
      <c r="J86" s="771" t="s">
        <v>1314</v>
      </c>
      <c r="K86" s="49"/>
      <c r="L86" s="49"/>
      <c r="M86" s="49"/>
      <c r="N86" s="49"/>
    </row>
    <row r="87" spans="1:15" ht="14.25" hidden="1" x14ac:dyDescent="0.2">
      <c r="A87" s="49"/>
      <c r="B87" s="49"/>
      <c r="C87" s="760"/>
      <c r="D87" s="760"/>
      <c r="E87" s="760"/>
      <c r="F87" s="760"/>
      <c r="G87" s="760"/>
      <c r="H87" s="760"/>
      <c r="I87" s="760"/>
      <c r="J87" s="771" t="s">
        <v>785</v>
      </c>
      <c r="K87" s="49" t="s">
        <v>1088</v>
      </c>
      <c r="L87" s="49"/>
      <c r="M87" s="49"/>
      <c r="N87" s="49"/>
    </row>
    <row r="88" spans="1:15" ht="14.25" hidden="1" x14ac:dyDescent="0.2">
      <c r="A88" s="49" t="s">
        <v>560</v>
      </c>
      <c r="B88" s="49"/>
      <c r="C88" s="772" t="s">
        <v>561</v>
      </c>
      <c r="D88" s="772" t="s">
        <v>561</v>
      </c>
      <c r="E88" s="772" t="s">
        <v>561</v>
      </c>
      <c r="F88" s="772" t="s">
        <v>561</v>
      </c>
      <c r="G88" s="772" t="s">
        <v>561</v>
      </c>
      <c r="H88" s="772" t="s">
        <v>463</v>
      </c>
      <c r="I88" s="771" t="s">
        <v>92</v>
      </c>
      <c r="J88" s="771" t="s">
        <v>784</v>
      </c>
      <c r="K88" s="771" t="s">
        <v>1089</v>
      </c>
      <c r="L88" s="49"/>
      <c r="M88" s="771" t="s">
        <v>1073</v>
      </c>
      <c r="N88" s="771" t="s">
        <v>682</v>
      </c>
    </row>
    <row r="89" spans="1:15" ht="14.25" hidden="1" x14ac:dyDescent="0.2">
      <c r="A89" s="49" t="s">
        <v>268</v>
      </c>
      <c r="B89" s="49"/>
      <c r="C89" s="772" t="s">
        <v>332</v>
      </c>
      <c r="D89" s="772" t="s">
        <v>78</v>
      </c>
      <c r="E89" s="772" t="s">
        <v>732</v>
      </c>
      <c r="F89" s="771" t="s">
        <v>881</v>
      </c>
      <c r="G89" s="771" t="s">
        <v>897</v>
      </c>
      <c r="H89" s="771" t="s">
        <v>898</v>
      </c>
      <c r="I89" s="771" t="s">
        <v>899</v>
      </c>
      <c r="J89" s="771" t="s">
        <v>899</v>
      </c>
      <c r="K89" s="49"/>
      <c r="L89" s="49"/>
      <c r="M89" s="773" t="s">
        <v>340</v>
      </c>
      <c r="N89" s="773" t="s">
        <v>1315</v>
      </c>
    </row>
    <row r="90" spans="1:15" ht="14.25" x14ac:dyDescent="0.2">
      <c r="A90" s="49">
        <v>449</v>
      </c>
      <c r="B90" s="49" t="s">
        <v>419</v>
      </c>
      <c r="C90" s="760"/>
      <c r="D90" s="760"/>
      <c r="E90" s="760"/>
      <c r="F90" s="760"/>
      <c r="G90" s="760"/>
      <c r="H90" s="760"/>
      <c r="I90" s="760"/>
      <c r="J90" s="760"/>
      <c r="K90" s="49"/>
      <c r="L90" s="49"/>
      <c r="M90" s="49"/>
      <c r="N90" s="774"/>
    </row>
    <row r="91" spans="1:15" ht="14.25" x14ac:dyDescent="0.2">
      <c r="A91" s="49"/>
      <c r="B91" s="49" t="s">
        <v>562</v>
      </c>
      <c r="C91" s="760">
        <f>+'661 449 Hwy'!C27-'661 449 Hwy'!C25</f>
        <v>22394.649999999998</v>
      </c>
      <c r="D91" s="760">
        <f>+'661 449 Hwy'!D27-'661 449 Hwy'!D25</f>
        <v>17339.32</v>
      </c>
      <c r="E91" s="760">
        <f>+'661 449 Hwy'!E27-'661 449 Hwy'!E25</f>
        <v>41678.6</v>
      </c>
      <c r="F91" s="760">
        <f>+'661 449 Hwy'!G27-'661 449 Hwy'!G25</f>
        <v>19605.989999999998</v>
      </c>
      <c r="G91" s="760">
        <f>+'661 449 Hwy'!H27-'661 449 Hwy'!H25</f>
        <v>19157.71</v>
      </c>
      <c r="H91" s="760">
        <f>+'661 449 Hwy'!J27-'661 449 Hwy'!J25</f>
        <v>42800</v>
      </c>
      <c r="I91" s="760">
        <f>+'661 449 Hwy'!L27-'661 449 Hwy'!L25</f>
        <v>42800</v>
      </c>
      <c r="J91" s="760">
        <f>+'661 449 Hwy'!M27-'661 449 Hwy'!M25</f>
        <v>42800</v>
      </c>
      <c r="K91" s="760">
        <f>+I91-G91</f>
        <v>23642.29</v>
      </c>
      <c r="L91" s="770">
        <f>ROUND((+K91/G91),4)</f>
        <v>1.2341</v>
      </c>
      <c r="M91" s="760">
        <f t="shared" ref="M91:M92" si="31">+I91-H91</f>
        <v>0</v>
      </c>
      <c r="N91" s="774">
        <f t="shared" ref="N91:N92" si="32">ROUND((+M91/H91),4)</f>
        <v>0</v>
      </c>
    </row>
    <row r="92" spans="1:15" ht="14.25" x14ac:dyDescent="0.2">
      <c r="A92" s="49"/>
      <c r="B92" s="49" t="s">
        <v>272</v>
      </c>
      <c r="C92" s="775">
        <f>+'661 449 Hwy'!C25</f>
        <v>2116.23</v>
      </c>
      <c r="D92" s="775">
        <f>+'661 449 Hwy'!D25</f>
        <v>0</v>
      </c>
      <c r="E92" s="775">
        <f>+'661 449 Hwy'!E25</f>
        <v>0</v>
      </c>
      <c r="F92" s="775">
        <f>+'661 449 Hwy'!G25</f>
        <v>0</v>
      </c>
      <c r="G92" s="775">
        <f>+'661 449 Hwy'!H25</f>
        <v>0</v>
      </c>
      <c r="H92" s="775">
        <f>+'661 449 Hwy'!J25</f>
        <v>8000</v>
      </c>
      <c r="I92" s="775">
        <f>+'661 449 Hwy'!L25</f>
        <v>8000</v>
      </c>
      <c r="J92" s="775">
        <f>+'661 449 Hwy'!M25</f>
        <v>8000</v>
      </c>
      <c r="K92" s="760">
        <f>+I92-G92</f>
        <v>8000</v>
      </c>
      <c r="L92" s="770" t="e">
        <f>ROUND((+K92/G92),4)</f>
        <v>#DIV/0!</v>
      </c>
      <c r="M92" s="775">
        <f t="shared" si="31"/>
        <v>0</v>
      </c>
      <c r="N92" s="774">
        <f t="shared" si="32"/>
        <v>0</v>
      </c>
    </row>
    <row r="93" spans="1:15" ht="14.25" x14ac:dyDescent="0.2">
      <c r="A93" s="49"/>
      <c r="B93" s="49" t="s">
        <v>563</v>
      </c>
      <c r="C93" s="760">
        <f t="shared" ref="C93:J93" si="33">SUM(C91:C92)</f>
        <v>24510.879999999997</v>
      </c>
      <c r="D93" s="760">
        <f t="shared" si="33"/>
        <v>17339.32</v>
      </c>
      <c r="E93" s="760">
        <f t="shared" si="33"/>
        <v>41678.6</v>
      </c>
      <c r="F93" s="760">
        <f t="shared" si="33"/>
        <v>19605.989999999998</v>
      </c>
      <c r="G93" s="760">
        <f t="shared" ref="G93:H93" si="34">SUM(G91:G92)</f>
        <v>19157.71</v>
      </c>
      <c r="H93" s="760">
        <f t="shared" si="34"/>
        <v>50800</v>
      </c>
      <c r="I93" s="760">
        <f t="shared" si="33"/>
        <v>50800</v>
      </c>
      <c r="J93" s="760">
        <f t="shared" si="33"/>
        <v>50800</v>
      </c>
      <c r="K93" s="760">
        <f>+I93-G93</f>
        <v>31642.29</v>
      </c>
      <c r="L93" s="770">
        <f>ROUND((+K93/G93),4)</f>
        <v>1.6516999999999999</v>
      </c>
      <c r="M93" s="760">
        <f>SUM(M91:M92)</f>
        <v>0</v>
      </c>
      <c r="N93" s="774"/>
    </row>
    <row r="94" spans="1:15" ht="14.25" x14ac:dyDescent="0.2">
      <c r="A94" s="49"/>
      <c r="B94" s="49"/>
      <c r="C94" s="760"/>
      <c r="D94" s="760"/>
      <c r="E94" s="760"/>
      <c r="F94" s="760"/>
      <c r="G94" s="760"/>
      <c r="H94" s="760"/>
      <c r="I94" s="760"/>
      <c r="J94" s="760"/>
      <c r="K94" s="760">
        <f>+I94-G94</f>
        <v>0</v>
      </c>
      <c r="L94" s="770" t="e">
        <f>ROUND((+K94/G94),4)</f>
        <v>#DIV/0!</v>
      </c>
      <c r="M94" s="49"/>
      <c r="N94" s="774"/>
    </row>
    <row r="95" spans="1:15" thickBot="1" x14ac:dyDescent="0.25">
      <c r="A95" s="49"/>
      <c r="B95" s="49" t="s">
        <v>327</v>
      </c>
      <c r="C95" s="776">
        <f t="shared" ref="C95:J95" si="35">+C93+C84</f>
        <v>1759353.11</v>
      </c>
      <c r="D95" s="776">
        <f t="shared" si="35"/>
        <v>1843512.6500000001</v>
      </c>
      <c r="E95" s="776">
        <f t="shared" si="35"/>
        <v>2239206.73</v>
      </c>
      <c r="F95" s="776">
        <f t="shared" si="35"/>
        <v>2084191.62</v>
      </c>
      <c r="G95" s="776">
        <f t="shared" ref="G95:H95" si="36">+G93+G84</f>
        <v>2066958.37</v>
      </c>
      <c r="H95" s="776">
        <f t="shared" si="36"/>
        <v>2435419</v>
      </c>
      <c r="I95" s="776">
        <f t="shared" si="35"/>
        <v>2449068.4699999997</v>
      </c>
      <c r="J95" s="776">
        <f t="shared" si="35"/>
        <v>2449068.4699999997</v>
      </c>
      <c r="K95" s="760">
        <f>+I95-G95</f>
        <v>382110.09999999963</v>
      </c>
      <c r="L95" s="770">
        <f>ROUND((+K95/G95),4)</f>
        <v>0.18490000000000001</v>
      </c>
      <c r="M95" s="776">
        <f>+I95-H95</f>
        <v>13649.469999999739</v>
      </c>
      <c r="N95" s="774">
        <f>ROUND((+M95/H95),4)</f>
        <v>5.5999999999999999E-3</v>
      </c>
    </row>
    <row r="96" spans="1:15" ht="15.75" thickTop="1" x14ac:dyDescent="0.2">
      <c r="C96" s="678"/>
      <c r="D96" s="678"/>
      <c r="E96" s="678"/>
      <c r="F96" s="678"/>
      <c r="G96" s="678"/>
      <c r="H96" s="678"/>
      <c r="I96" s="678"/>
      <c r="J96" s="678"/>
    </row>
    <row r="97" spans="1:12" x14ac:dyDescent="0.2">
      <c r="B97" s="672" t="s">
        <v>349</v>
      </c>
      <c r="D97" s="678"/>
      <c r="E97" s="678"/>
      <c r="F97" s="678"/>
      <c r="G97" s="678"/>
      <c r="H97" s="678"/>
      <c r="I97" s="678"/>
      <c r="J97" s="678"/>
    </row>
    <row r="98" spans="1:12" x14ac:dyDescent="0.2">
      <c r="B98" s="672" t="s">
        <v>546</v>
      </c>
      <c r="C98" s="673">
        <v>200000</v>
      </c>
      <c r="D98" s="678"/>
      <c r="E98" s="678"/>
      <c r="F98" s="678"/>
      <c r="G98" s="678"/>
      <c r="H98" s="678"/>
      <c r="I98" s="678"/>
      <c r="J98" s="678"/>
    </row>
    <row r="99" spans="1:12" x14ac:dyDescent="0.2">
      <c r="B99" s="672" t="s">
        <v>350</v>
      </c>
      <c r="C99" s="673">
        <f>+C95-C98</f>
        <v>1559353.11</v>
      </c>
      <c r="D99" s="678"/>
      <c r="E99" s="678"/>
      <c r="F99" s="678"/>
      <c r="G99" s="678"/>
      <c r="H99" s="678"/>
      <c r="I99" s="678"/>
      <c r="J99" s="678"/>
    </row>
    <row r="100" spans="1:12" ht="15.75" thickBot="1" x14ac:dyDescent="0.25">
      <c r="B100" s="672" t="s">
        <v>431</v>
      </c>
      <c r="C100" s="679">
        <f>SUM(C98:C99)</f>
        <v>1759353.11</v>
      </c>
      <c r="D100" s="678"/>
      <c r="E100" s="678"/>
      <c r="F100" s="678"/>
      <c r="G100" s="678"/>
      <c r="H100" s="678"/>
      <c r="I100" s="678"/>
      <c r="J100" s="678"/>
    </row>
    <row r="101" spans="1:12" ht="15.75" thickTop="1" x14ac:dyDescent="0.2">
      <c r="C101" s="678"/>
      <c r="D101" s="678"/>
      <c r="E101" s="678"/>
      <c r="F101" s="678"/>
      <c r="G101" s="678"/>
      <c r="H101" s="678"/>
      <c r="I101" s="678"/>
      <c r="J101" s="678"/>
    </row>
    <row r="104" spans="1:12" x14ac:dyDescent="0.2">
      <c r="A104" s="672">
        <f>+'Working Budget with funding det'!A114</f>
        <v>482</v>
      </c>
      <c r="B104" s="672" t="str">
        <f>+'Working Budget with funding det'!B114</f>
        <v>AIRPORT</v>
      </c>
      <c r="C104" s="673">
        <f>+'600 482 Airport'!C37</f>
        <v>36905.490000000005</v>
      </c>
      <c r="D104" s="673">
        <f>+'600 482 Airport'!D37</f>
        <v>44653.43</v>
      </c>
      <c r="E104" s="673">
        <f>+'600 482 Airport'!E37</f>
        <v>45769.880000000005</v>
      </c>
      <c r="F104" s="673">
        <f>+'600 482 Airport'!G37</f>
        <v>51918.03</v>
      </c>
      <c r="G104" s="673">
        <f>+'600 482 Airport'!I37</f>
        <v>48391.540000000008</v>
      </c>
      <c r="I104" s="673">
        <f>+'600 482 Airport'!L37</f>
        <v>55694</v>
      </c>
      <c r="J104" s="673">
        <f>+'600 482 Airport'!M37</f>
        <v>55694</v>
      </c>
      <c r="K104" s="673">
        <f>+I104-G104</f>
        <v>7302.4599999999919</v>
      </c>
      <c r="L104" s="676">
        <f>ROUND((+K104/G104),4)</f>
        <v>0.15090000000000001</v>
      </c>
    </row>
    <row r="105" spans="1:12" x14ac:dyDescent="0.2">
      <c r="B105" s="672" t="s">
        <v>1090</v>
      </c>
    </row>
  </sheetData>
  <phoneticPr fontId="15" type="noConversion"/>
  <pageMargins left="1" right="1" top="1" bottom="1" header="0.5" footer="0.5"/>
  <pageSetup scale="61" fitToHeight="3" orientation="portrait" r:id="rId1"/>
  <headerFooter alignWithMargins="0">
    <oddFooter>&amp;L&amp;D &amp;T&amp;C&amp;F&amp;R&amp;A&amp;P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1"/>
  <sheetViews>
    <sheetView zoomScale="85" workbookViewId="0">
      <pane ySplit="7" topLeftCell="A8" activePane="bottomLeft" state="frozen"/>
      <selection activeCell="K15" sqref="K15"/>
      <selection pane="bottomLeft" activeCell="J44" sqref="J44"/>
    </sheetView>
  </sheetViews>
  <sheetFormatPr defaultRowHeight="12.75" x14ac:dyDescent="0.2"/>
  <cols>
    <col min="1" max="1" width="11.5" customWidth="1"/>
    <col min="2" max="2" width="36.6640625" customWidth="1"/>
    <col min="3" max="3" width="14.5" style="1" hidden="1" customWidth="1"/>
    <col min="4" max="7" width="14.5" style="121" hidden="1" customWidth="1"/>
    <col min="8" max="10" width="14.5" style="121" customWidth="1"/>
    <col min="11" max="11" width="14.5" customWidth="1"/>
    <col min="12" max="14" width="14.5" style="1" customWidth="1"/>
    <col min="15" max="17" width="14.5" customWidth="1"/>
    <col min="18" max="18" width="14.6640625" customWidth="1"/>
  </cols>
  <sheetData>
    <row r="1" spans="1:17" x14ac:dyDescent="0.2">
      <c r="A1" s="410" t="s">
        <v>1013</v>
      </c>
      <c r="B1" s="410" t="s">
        <v>1418</v>
      </c>
      <c r="N1"/>
    </row>
    <row r="2" spans="1:17" ht="15" x14ac:dyDescent="0.25">
      <c r="A2" s="49" t="s">
        <v>254</v>
      </c>
      <c r="B2" s="49"/>
      <c r="E2" s="153"/>
      <c r="H2" s="153" t="s">
        <v>252</v>
      </c>
      <c r="I2" s="153"/>
      <c r="J2" s="153"/>
      <c r="K2" s="67" t="s">
        <v>1314</v>
      </c>
      <c r="M2" s="50" t="s">
        <v>468</v>
      </c>
    </row>
    <row r="3" spans="1:17" ht="13.5" thickBot="1" x14ac:dyDescent="0.25">
      <c r="A3" s="4"/>
      <c r="B3" s="4"/>
      <c r="C3" s="25"/>
      <c r="D3" s="25"/>
      <c r="E3" s="25"/>
      <c r="F3" s="25"/>
      <c r="G3" s="25"/>
      <c r="H3" s="25"/>
      <c r="I3" s="25"/>
      <c r="J3" s="25"/>
      <c r="K3" s="4"/>
      <c r="L3" s="25"/>
      <c r="M3" s="4"/>
      <c r="N3" s="4"/>
      <c r="Q3" s="4"/>
    </row>
    <row r="4" spans="1:17"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7" x14ac:dyDescent="0.2">
      <c r="A5" s="93"/>
      <c r="B5" s="216"/>
      <c r="C5" s="137"/>
      <c r="D5" s="94"/>
      <c r="E5" s="120"/>
      <c r="F5" s="94"/>
      <c r="G5" s="94"/>
      <c r="H5" s="120"/>
      <c r="I5" s="318"/>
      <c r="J5" s="318"/>
      <c r="K5" s="120" t="s">
        <v>509</v>
      </c>
      <c r="L5" s="95" t="s">
        <v>7</v>
      </c>
      <c r="M5" s="209" t="s">
        <v>783</v>
      </c>
    </row>
    <row r="6" spans="1:17" x14ac:dyDescent="0.2">
      <c r="A6" s="93"/>
      <c r="B6" s="216"/>
      <c r="C6" s="137"/>
      <c r="D6" s="137"/>
      <c r="E6" s="137"/>
      <c r="F6" s="137"/>
      <c r="G6" s="137"/>
      <c r="H6" s="137"/>
      <c r="I6" s="95"/>
      <c r="J6" s="95"/>
      <c r="K6" s="137"/>
      <c r="L6" s="95" t="s">
        <v>8</v>
      </c>
      <c r="M6" s="51" t="s">
        <v>537</v>
      </c>
    </row>
    <row r="7" spans="1:17" ht="13.5" thickBot="1" x14ac:dyDescent="0.25">
      <c r="A7" s="8" t="s">
        <v>123</v>
      </c>
      <c r="B7" s="89"/>
      <c r="C7" s="337" t="s">
        <v>334</v>
      </c>
      <c r="D7" s="337" t="s">
        <v>718</v>
      </c>
      <c r="E7" s="9" t="s">
        <v>734</v>
      </c>
      <c r="F7" s="9" t="s">
        <v>791</v>
      </c>
      <c r="G7" s="9" t="s">
        <v>881</v>
      </c>
      <c r="H7" s="9" t="s">
        <v>1010</v>
      </c>
      <c r="I7" s="9" t="s">
        <v>1072</v>
      </c>
      <c r="J7" s="779" t="s">
        <v>899</v>
      </c>
      <c r="K7" s="145">
        <v>43830</v>
      </c>
      <c r="L7" s="9" t="s">
        <v>9</v>
      </c>
      <c r="M7" s="9" t="s">
        <v>541</v>
      </c>
    </row>
    <row r="8" spans="1:17" ht="13.5" thickTop="1" x14ac:dyDescent="0.2">
      <c r="A8" s="30">
        <v>5111</v>
      </c>
      <c r="B8" s="218" t="s">
        <v>684</v>
      </c>
      <c r="C8" s="142">
        <v>87868.9</v>
      </c>
      <c r="D8" s="136">
        <v>95093</v>
      </c>
      <c r="E8" s="136">
        <v>98445</v>
      </c>
      <c r="F8" s="136">
        <v>101417.60000000001</v>
      </c>
      <c r="G8" s="136">
        <v>107277.06</v>
      </c>
      <c r="H8" s="136">
        <v>106047</v>
      </c>
      <c r="I8" s="136">
        <v>110332</v>
      </c>
      <c r="J8" s="134">
        <f>3889+110332</f>
        <v>114221</v>
      </c>
      <c r="K8" s="19">
        <v>54401.25</v>
      </c>
      <c r="L8" s="134">
        <f>ROUND(+K42+K43,0)</f>
        <v>167169</v>
      </c>
      <c r="M8" s="134"/>
    </row>
    <row r="9" spans="1:17" x14ac:dyDescent="0.2">
      <c r="A9" s="30">
        <v>5113</v>
      </c>
      <c r="B9" s="117" t="s">
        <v>685</v>
      </c>
      <c r="C9" s="142">
        <v>32158</v>
      </c>
      <c r="D9" s="136">
        <v>35092.639999999999</v>
      </c>
      <c r="E9" s="136">
        <v>38122.11</v>
      </c>
      <c r="F9" s="136">
        <v>39647.11</v>
      </c>
      <c r="G9" s="136">
        <v>40514.04</v>
      </c>
      <c r="H9" s="136">
        <v>42186.49</v>
      </c>
      <c r="I9" s="136">
        <v>42825.37</v>
      </c>
      <c r="J9" s="134">
        <f>1304+42939</f>
        <v>44243</v>
      </c>
      <c r="K9" s="19">
        <v>20949.09</v>
      </c>
      <c r="L9" s="134"/>
      <c r="M9" s="134"/>
    </row>
    <row r="10" spans="1:17" x14ac:dyDescent="0.2">
      <c r="A10" s="30">
        <v>5115</v>
      </c>
      <c r="B10" s="117" t="s">
        <v>556</v>
      </c>
      <c r="C10" s="140">
        <v>1000</v>
      </c>
      <c r="D10" s="156">
        <v>1500</v>
      </c>
      <c r="E10" s="156">
        <v>1500</v>
      </c>
      <c r="F10" s="156">
        <v>1500</v>
      </c>
      <c r="G10" s="156">
        <v>2040</v>
      </c>
      <c r="H10" s="156">
        <v>2040</v>
      </c>
      <c r="I10" s="156">
        <v>2040</v>
      </c>
      <c r="J10" s="261">
        <v>2355</v>
      </c>
      <c r="K10" s="14">
        <v>1177.5</v>
      </c>
      <c r="L10" s="261">
        <v>2355</v>
      </c>
      <c r="M10" s="132"/>
    </row>
    <row r="11" spans="1:17" x14ac:dyDescent="0.2">
      <c r="A11" s="30">
        <v>5115</v>
      </c>
      <c r="B11" s="117" t="s">
        <v>525</v>
      </c>
      <c r="C11" s="811">
        <v>1000</v>
      </c>
      <c r="D11" s="351">
        <v>1500</v>
      </c>
      <c r="E11" s="351">
        <v>1500</v>
      </c>
      <c r="F11" s="351">
        <v>1500</v>
      </c>
      <c r="G11" s="351">
        <v>2040</v>
      </c>
      <c r="H11" s="351">
        <v>2040</v>
      </c>
      <c r="I11" s="351">
        <v>2040</v>
      </c>
      <c r="J11" s="680">
        <v>2140</v>
      </c>
      <c r="K11" s="32">
        <v>1070</v>
      </c>
      <c r="L11" s="680">
        <v>2140</v>
      </c>
      <c r="M11" s="132"/>
    </row>
    <row r="12" spans="1:17" x14ac:dyDescent="0.2">
      <c r="A12" s="12">
        <v>5115</v>
      </c>
      <c r="B12" s="69" t="s">
        <v>526</v>
      </c>
      <c r="C12" s="140">
        <v>1000</v>
      </c>
      <c r="D12" s="14">
        <v>1500</v>
      </c>
      <c r="E12" s="14">
        <v>1500</v>
      </c>
      <c r="F12" s="14">
        <v>1500</v>
      </c>
      <c r="G12" s="14">
        <v>2040</v>
      </c>
      <c r="H12" s="14">
        <v>2040</v>
      </c>
      <c r="I12" s="14">
        <v>2040</v>
      </c>
      <c r="J12" s="44">
        <v>2140</v>
      </c>
      <c r="K12" s="14">
        <v>1070</v>
      </c>
      <c r="L12" s="44">
        <v>2140</v>
      </c>
      <c r="M12" s="132"/>
    </row>
    <row r="13" spans="1:17" x14ac:dyDescent="0.2">
      <c r="A13" s="12">
        <v>5124</v>
      </c>
      <c r="B13" s="69" t="s">
        <v>1369</v>
      </c>
      <c r="C13" s="140"/>
      <c r="D13" s="14"/>
      <c r="E13" s="14"/>
      <c r="F13" s="14"/>
      <c r="G13" s="14"/>
      <c r="H13" s="14"/>
      <c r="I13" s="14">
        <v>357</v>
      </c>
      <c r="J13" s="44"/>
      <c r="K13" s="14"/>
      <c r="L13" s="44"/>
      <c r="M13" s="132"/>
    </row>
    <row r="14" spans="1:17" x14ac:dyDescent="0.2">
      <c r="A14" s="12">
        <v>5144</v>
      </c>
      <c r="B14" s="69" t="s">
        <v>152</v>
      </c>
      <c r="C14" s="140">
        <v>1050</v>
      </c>
      <c r="D14" s="14">
        <v>1100</v>
      </c>
      <c r="E14" s="14">
        <v>1100</v>
      </c>
      <c r="F14" s="14">
        <v>1100</v>
      </c>
      <c r="G14" s="14">
        <v>1700</v>
      </c>
      <c r="H14" s="14">
        <v>900</v>
      </c>
      <c r="I14" s="14">
        <v>900</v>
      </c>
      <c r="J14" s="15">
        <v>900</v>
      </c>
      <c r="K14" s="14">
        <v>900</v>
      </c>
      <c r="L14" s="15">
        <f>+N43</f>
        <v>900</v>
      </c>
      <c r="M14" s="132"/>
    </row>
    <row r="15" spans="1:17" ht="13.5" thickBot="1" x14ac:dyDescent="0.25">
      <c r="A15" s="12">
        <v>5145</v>
      </c>
      <c r="B15" s="69" t="s">
        <v>598</v>
      </c>
      <c r="C15" s="263">
        <v>161.56</v>
      </c>
      <c r="D15" s="39">
        <v>300.04000000000002</v>
      </c>
      <c r="E15" s="39">
        <v>300.04000000000002</v>
      </c>
      <c r="F15" s="16">
        <v>305.81</v>
      </c>
      <c r="G15" s="16">
        <v>444.29</v>
      </c>
      <c r="H15" s="16">
        <v>600.08000000000004</v>
      </c>
      <c r="I15" s="16">
        <v>600.08000000000004</v>
      </c>
      <c r="J15" s="17">
        <v>610</v>
      </c>
      <c r="K15" s="16">
        <v>288.5</v>
      </c>
      <c r="L15" s="17">
        <v>610</v>
      </c>
      <c r="M15" s="133"/>
    </row>
    <row r="16" spans="1:17" hidden="1" x14ac:dyDescent="0.2">
      <c r="A16" s="12">
        <v>5192</v>
      </c>
      <c r="B16" s="69" t="s">
        <v>953</v>
      </c>
      <c r="C16" s="263"/>
      <c r="D16" s="39"/>
      <c r="E16" s="39"/>
      <c r="F16" s="32"/>
      <c r="G16" s="32">
        <v>4305</v>
      </c>
      <c r="H16" s="32"/>
      <c r="I16" s="32"/>
      <c r="J16" s="33"/>
      <c r="K16" s="32"/>
      <c r="L16" s="33"/>
      <c r="M16" s="134"/>
    </row>
    <row r="17" spans="1:13" hidden="1" x14ac:dyDescent="0.2">
      <c r="A17" s="12">
        <v>5193</v>
      </c>
      <c r="B17" s="69" t="s">
        <v>603</v>
      </c>
      <c r="C17" s="263"/>
      <c r="D17" s="39"/>
      <c r="E17" s="39"/>
      <c r="F17" s="39"/>
      <c r="G17" s="39">
        <v>3500</v>
      </c>
      <c r="H17" s="39"/>
      <c r="I17" s="39"/>
      <c r="J17" s="40"/>
      <c r="K17" s="39"/>
      <c r="L17" s="40"/>
      <c r="M17" s="132"/>
    </row>
    <row r="18" spans="1:13" ht="13.5" hidden="1" thickBot="1" x14ac:dyDescent="0.25">
      <c r="A18" s="12">
        <v>5194</v>
      </c>
      <c r="B18" s="69" t="s">
        <v>954</v>
      </c>
      <c r="C18" s="141"/>
      <c r="D18" s="16">
        <v>0</v>
      </c>
      <c r="E18" s="16"/>
      <c r="F18" s="16"/>
      <c r="G18" s="16">
        <v>16073.84</v>
      </c>
      <c r="H18" s="16"/>
      <c r="I18" s="16"/>
      <c r="J18" s="17"/>
      <c r="K18" s="16"/>
      <c r="L18" s="17"/>
      <c r="M18" s="133"/>
    </row>
    <row r="19" spans="1:13" x14ac:dyDescent="0.2">
      <c r="A19" s="12"/>
      <c r="B19" s="18" t="s">
        <v>125</v>
      </c>
      <c r="C19" s="19">
        <f t="shared" ref="C19:M19" si="0">SUM(C8:C18)</f>
        <v>124238.45999999999</v>
      </c>
      <c r="D19" s="19">
        <f t="shared" si="0"/>
        <v>136085.68000000002</v>
      </c>
      <c r="E19" s="19">
        <f t="shared" si="0"/>
        <v>142467.15</v>
      </c>
      <c r="F19" s="19">
        <f t="shared" si="0"/>
        <v>146970.52000000002</v>
      </c>
      <c r="G19" s="19">
        <f t="shared" si="0"/>
        <v>179934.23</v>
      </c>
      <c r="H19" s="19">
        <f t="shared" si="0"/>
        <v>155853.56999999998</v>
      </c>
      <c r="I19" s="19">
        <f t="shared" si="0"/>
        <v>161134.44999999998</v>
      </c>
      <c r="J19" s="20">
        <f>SUM(J8:J18)</f>
        <v>166609</v>
      </c>
      <c r="K19" s="19">
        <f t="shared" si="0"/>
        <v>79856.34</v>
      </c>
      <c r="L19" s="20">
        <f>SUM(L8:L18)</f>
        <v>175314</v>
      </c>
      <c r="M19" s="20">
        <f t="shared" si="0"/>
        <v>0</v>
      </c>
    </row>
    <row r="20" spans="1:13" x14ac:dyDescent="0.2">
      <c r="A20" s="12"/>
      <c r="B20" s="13"/>
      <c r="C20" s="14"/>
      <c r="D20" s="14"/>
      <c r="E20" s="14"/>
      <c r="F20" s="14"/>
      <c r="G20" s="14"/>
      <c r="H20" s="14"/>
      <c r="I20" s="14"/>
      <c r="J20" s="15"/>
      <c r="K20" s="14"/>
      <c r="L20" s="15"/>
      <c r="M20" s="15"/>
    </row>
    <row r="21" spans="1:13" x14ac:dyDescent="0.2">
      <c r="A21" s="12">
        <v>5310</v>
      </c>
      <c r="B21" s="13" t="s">
        <v>1211</v>
      </c>
      <c r="C21" s="14"/>
      <c r="D21" s="14"/>
      <c r="E21" s="14"/>
      <c r="F21" s="14"/>
      <c r="G21" s="14"/>
      <c r="H21" s="14">
        <v>9814</v>
      </c>
      <c r="I21" s="14"/>
      <c r="J21" s="15"/>
      <c r="K21" s="14"/>
      <c r="L21" s="15"/>
      <c r="M21" s="15"/>
    </row>
    <row r="22" spans="1:13" x14ac:dyDescent="0.2">
      <c r="A22" s="12">
        <v>5314</v>
      </c>
      <c r="B22" s="13" t="s">
        <v>134</v>
      </c>
      <c r="C22" s="14">
        <v>155</v>
      </c>
      <c r="D22" s="14">
        <v>264</v>
      </c>
      <c r="E22" s="14">
        <v>234</v>
      </c>
      <c r="F22" s="14">
        <v>339</v>
      </c>
      <c r="G22" s="14">
        <v>1640.7</v>
      </c>
      <c r="H22" s="14">
        <v>344</v>
      </c>
      <c r="I22" s="14">
        <v>1374</v>
      </c>
      <c r="J22" s="15">
        <v>1270</v>
      </c>
      <c r="K22" s="14">
        <v>60</v>
      </c>
      <c r="L22" s="15">
        <v>1000</v>
      </c>
      <c r="M22" s="15"/>
    </row>
    <row r="23" spans="1:13" x14ac:dyDescent="0.2">
      <c r="A23" s="12">
        <v>5315</v>
      </c>
      <c r="B23" s="13" t="s">
        <v>1286</v>
      </c>
      <c r="C23" s="14">
        <v>13</v>
      </c>
      <c r="D23" s="14"/>
      <c r="E23" s="14"/>
      <c r="F23" s="14"/>
      <c r="G23" s="14">
        <v>1771</v>
      </c>
      <c r="H23" s="14">
        <v>3318</v>
      </c>
      <c r="I23" s="14">
        <v>3318</v>
      </c>
      <c r="J23" s="15">
        <v>8000</v>
      </c>
      <c r="K23" s="14">
        <v>2673</v>
      </c>
      <c r="L23" s="15">
        <v>7200</v>
      </c>
      <c r="M23" s="15"/>
    </row>
    <row r="24" spans="1:13" hidden="1" x14ac:dyDescent="0.2">
      <c r="A24" s="12">
        <v>5341</v>
      </c>
      <c r="B24" s="13" t="s">
        <v>136</v>
      </c>
      <c r="C24" s="14">
        <v>622.19000000000005</v>
      </c>
      <c r="D24" s="14">
        <v>606.08000000000004</v>
      </c>
      <c r="E24" s="14">
        <v>609.53</v>
      </c>
      <c r="F24" s="14">
        <v>625.46</v>
      </c>
      <c r="G24" s="14">
        <v>643.62</v>
      </c>
      <c r="H24" s="14"/>
      <c r="I24" s="14"/>
      <c r="J24" s="15"/>
      <c r="K24" s="14"/>
      <c r="L24" s="15"/>
      <c r="M24" s="15"/>
    </row>
    <row r="25" spans="1:13" x14ac:dyDescent="0.2">
      <c r="A25" s="12">
        <v>5344</v>
      </c>
      <c r="B25" s="13" t="s">
        <v>137</v>
      </c>
      <c r="C25" s="14">
        <v>394.95</v>
      </c>
      <c r="D25" s="14">
        <v>15.26</v>
      </c>
      <c r="E25" s="14">
        <v>46.13</v>
      </c>
      <c r="F25" s="14">
        <v>313.97000000000003</v>
      </c>
      <c r="G25" s="14">
        <v>6.67</v>
      </c>
      <c r="H25" s="14">
        <v>230.52</v>
      </c>
      <c r="I25" s="14">
        <v>57.55</v>
      </c>
      <c r="J25" s="15">
        <v>300</v>
      </c>
      <c r="K25" s="14"/>
      <c r="L25" s="15">
        <v>300</v>
      </c>
      <c r="M25" s="15"/>
    </row>
    <row r="26" spans="1:13" x14ac:dyDescent="0.2">
      <c r="A26" s="12">
        <v>5345</v>
      </c>
      <c r="B26" s="13" t="s">
        <v>138</v>
      </c>
      <c r="C26" s="14">
        <v>215.57</v>
      </c>
      <c r="D26" s="14">
        <v>993.7</v>
      </c>
      <c r="E26" s="14">
        <v>1101.8</v>
      </c>
      <c r="F26" s="14"/>
      <c r="G26" s="14">
        <v>766</v>
      </c>
      <c r="H26" s="14"/>
      <c r="I26" s="14">
        <v>386.33</v>
      </c>
      <c r="J26" s="15">
        <v>1050</v>
      </c>
      <c r="K26" s="14">
        <v>84</v>
      </c>
      <c r="L26" s="15">
        <v>1050</v>
      </c>
      <c r="M26" s="15"/>
    </row>
    <row r="27" spans="1:13" x14ac:dyDescent="0.2">
      <c r="A27" s="12">
        <v>5420</v>
      </c>
      <c r="B27" s="13" t="s">
        <v>139</v>
      </c>
      <c r="C27" s="19">
        <v>961.77</v>
      </c>
      <c r="D27" s="19">
        <v>902.7</v>
      </c>
      <c r="E27" s="19">
        <v>1272.0899999999999</v>
      </c>
      <c r="F27" s="19">
        <v>1250.75</v>
      </c>
      <c r="G27" s="19">
        <v>1639.92</v>
      </c>
      <c r="H27" s="19">
        <v>1984.35</v>
      </c>
      <c r="I27" s="19">
        <v>2047.5</v>
      </c>
      <c r="J27" s="20">
        <v>1600</v>
      </c>
      <c r="K27" s="19">
        <v>209.94</v>
      </c>
      <c r="L27" s="20">
        <v>1600</v>
      </c>
      <c r="M27" s="20"/>
    </row>
    <row r="28" spans="1:13" x14ac:dyDescent="0.2">
      <c r="A28" s="12">
        <v>5450</v>
      </c>
      <c r="B28" s="13" t="s">
        <v>12</v>
      </c>
      <c r="C28" s="110"/>
      <c r="D28" s="110">
        <v>105.99</v>
      </c>
      <c r="E28" s="110"/>
      <c r="F28" s="110"/>
      <c r="G28" s="110"/>
      <c r="H28" s="110">
        <v>470.13</v>
      </c>
      <c r="I28" s="110">
        <v>0</v>
      </c>
      <c r="J28" s="253">
        <v>500</v>
      </c>
      <c r="K28" s="110">
        <v>0</v>
      </c>
      <c r="L28" s="253">
        <v>500</v>
      </c>
      <c r="M28" s="15"/>
    </row>
    <row r="29" spans="1:13" x14ac:dyDescent="0.2">
      <c r="A29" s="12">
        <v>5581</v>
      </c>
      <c r="B29" s="13" t="s">
        <v>141</v>
      </c>
      <c r="C29" s="109">
        <v>69</v>
      </c>
      <c r="D29" s="109">
        <v>157.4</v>
      </c>
      <c r="E29" s="109">
        <v>88.4</v>
      </c>
      <c r="F29" s="109"/>
      <c r="G29" s="109">
        <v>167.8</v>
      </c>
      <c r="H29" s="109">
        <v>175.6</v>
      </c>
      <c r="I29" s="109">
        <v>176.55</v>
      </c>
      <c r="J29" s="36">
        <v>200</v>
      </c>
      <c r="K29" s="109"/>
      <c r="L29" s="36">
        <v>200</v>
      </c>
      <c r="M29" s="15"/>
    </row>
    <row r="30" spans="1:13" x14ac:dyDescent="0.2">
      <c r="A30" s="12">
        <v>5582</v>
      </c>
      <c r="B30" s="13" t="s">
        <v>23</v>
      </c>
      <c r="C30" s="110">
        <v>10.9</v>
      </c>
      <c r="D30" s="110"/>
      <c r="E30" s="110"/>
      <c r="F30" s="110"/>
      <c r="G30" s="110">
        <v>121.44</v>
      </c>
      <c r="H30" s="110"/>
      <c r="I30" s="110">
        <v>117.69</v>
      </c>
      <c r="J30" s="253">
        <v>750</v>
      </c>
      <c r="K30" s="110">
        <v>122.52</v>
      </c>
      <c r="L30" s="253">
        <v>600</v>
      </c>
      <c r="M30" s="20"/>
    </row>
    <row r="31" spans="1:13" x14ac:dyDescent="0.2">
      <c r="A31" s="12">
        <v>5590</v>
      </c>
      <c r="B31" s="13" t="s">
        <v>990</v>
      </c>
      <c r="C31" s="110"/>
      <c r="D31" s="110"/>
      <c r="E31" s="110"/>
      <c r="F31" s="110">
        <v>3247.68</v>
      </c>
      <c r="G31" s="110">
        <v>3568</v>
      </c>
      <c r="H31" s="110"/>
      <c r="I31" s="110"/>
      <c r="J31" s="253"/>
      <c r="K31" s="110"/>
      <c r="L31" s="253"/>
      <c r="M31" s="20"/>
    </row>
    <row r="32" spans="1:13" x14ac:dyDescent="0.2">
      <c r="A32" s="12">
        <v>5710</v>
      </c>
      <c r="B32" s="13" t="s">
        <v>529</v>
      </c>
      <c r="C32" s="19">
        <v>798.35</v>
      </c>
      <c r="D32" s="19">
        <v>780.84</v>
      </c>
      <c r="E32" s="19">
        <v>851.39</v>
      </c>
      <c r="F32" s="19">
        <v>839.1</v>
      </c>
      <c r="G32" s="19">
        <v>1366.82</v>
      </c>
      <c r="H32" s="19">
        <v>964.56</v>
      </c>
      <c r="I32" s="19">
        <v>1700.03</v>
      </c>
      <c r="J32" s="20">
        <v>1750</v>
      </c>
      <c r="K32" s="19">
        <v>28</v>
      </c>
      <c r="L32" s="20">
        <v>1750</v>
      </c>
      <c r="M32" s="20"/>
    </row>
    <row r="33" spans="1:18" ht="13.5" thickBot="1" x14ac:dyDescent="0.25">
      <c r="A33" s="12">
        <v>5730</v>
      </c>
      <c r="B33" s="13" t="s">
        <v>142</v>
      </c>
      <c r="C33" s="16">
        <v>2157</v>
      </c>
      <c r="D33" s="16">
        <v>1952</v>
      </c>
      <c r="E33" s="16">
        <v>1997</v>
      </c>
      <c r="F33" s="16">
        <v>1966.42</v>
      </c>
      <c r="G33" s="16">
        <v>1814.8</v>
      </c>
      <c r="H33" s="16">
        <v>2011</v>
      </c>
      <c r="I33" s="16">
        <v>2178</v>
      </c>
      <c r="J33" s="17">
        <v>2460</v>
      </c>
      <c r="K33" s="16">
        <v>2326</v>
      </c>
      <c r="L33" s="17">
        <v>2500</v>
      </c>
      <c r="M33" s="17"/>
    </row>
    <row r="34" spans="1:18" x14ac:dyDescent="0.2">
      <c r="A34" s="12"/>
      <c r="B34" s="18" t="s">
        <v>442</v>
      </c>
      <c r="C34" s="14">
        <f t="shared" ref="C34:K34" si="1">SUM(C22:C33)</f>
        <v>5397.73</v>
      </c>
      <c r="D34" s="14">
        <f t="shared" si="1"/>
        <v>5777.9699999999993</v>
      </c>
      <c r="E34" s="14">
        <f t="shared" si="1"/>
        <v>6200.34</v>
      </c>
      <c r="F34" s="14">
        <f>SUM(F22:F33)</f>
        <v>8582.380000000001</v>
      </c>
      <c r="G34" s="14">
        <f>SUM(G22:G33)</f>
        <v>13506.769999999999</v>
      </c>
      <c r="H34" s="14">
        <f>SUM(H21:H33)</f>
        <v>19312.16</v>
      </c>
      <c r="I34" s="14">
        <f t="shared" si="1"/>
        <v>11355.65</v>
      </c>
      <c r="J34" s="15">
        <f>SUM(J22:J33)</f>
        <v>17880</v>
      </c>
      <c r="K34" s="14">
        <f t="shared" si="1"/>
        <v>5503.46</v>
      </c>
      <c r="L34" s="15">
        <f>SUM(L22:L33)</f>
        <v>16700</v>
      </c>
      <c r="M34" s="15">
        <f>SUM(M22:M33)</f>
        <v>0</v>
      </c>
    </row>
    <row r="35" spans="1:18" x14ac:dyDescent="0.2">
      <c r="A35" s="12"/>
      <c r="B35" s="13"/>
      <c r="C35" s="14"/>
      <c r="D35" s="14"/>
      <c r="E35" s="14"/>
      <c r="F35" s="14"/>
      <c r="G35" s="14"/>
      <c r="H35" s="14"/>
      <c r="I35" s="14"/>
      <c r="J35" s="15"/>
      <c r="K35" s="14"/>
      <c r="L35" s="15"/>
      <c r="M35" s="15"/>
    </row>
    <row r="36" spans="1:18" ht="13.5" thickBot="1" x14ac:dyDescent="0.25">
      <c r="A36" s="21"/>
      <c r="B36" s="22" t="s">
        <v>445</v>
      </c>
      <c r="C36" s="23">
        <f t="shared" ref="C36:L36" si="2">+C34+C19</f>
        <v>129636.18999999999</v>
      </c>
      <c r="D36" s="23">
        <f t="shared" si="2"/>
        <v>141863.65000000002</v>
      </c>
      <c r="E36" s="23">
        <f t="shared" si="2"/>
        <v>148667.49</v>
      </c>
      <c r="F36" s="23">
        <f t="shared" si="2"/>
        <v>155552.90000000002</v>
      </c>
      <c r="G36" s="23">
        <f t="shared" si="2"/>
        <v>193441</v>
      </c>
      <c r="H36" s="23">
        <f t="shared" si="2"/>
        <v>175165.72999999998</v>
      </c>
      <c r="I36" s="23">
        <f t="shared" si="2"/>
        <v>172490.09999999998</v>
      </c>
      <c r="J36" s="24">
        <f t="shared" ref="J36" si="3">+J34+J19</f>
        <v>184489</v>
      </c>
      <c r="K36" s="23">
        <f t="shared" si="2"/>
        <v>85359.8</v>
      </c>
      <c r="L36" s="24">
        <f t="shared" si="2"/>
        <v>192014</v>
      </c>
      <c r="M36" s="24">
        <f>+L36</f>
        <v>192014</v>
      </c>
    </row>
    <row r="37" spans="1:18" ht="16.5" thickTop="1" x14ac:dyDescent="0.25">
      <c r="A37" s="102"/>
      <c r="B37" s="102"/>
      <c r="C37" s="25"/>
      <c r="D37" s="25"/>
      <c r="E37" s="25"/>
      <c r="F37" s="25"/>
      <c r="G37" s="25"/>
      <c r="H37" s="25"/>
      <c r="I37" s="25"/>
      <c r="J37" s="25"/>
      <c r="K37" s="29"/>
      <c r="L37" s="25"/>
      <c r="M37" s="84"/>
      <c r="N37" s="25"/>
      <c r="O37" s="29"/>
      <c r="P37" s="214"/>
      <c r="Q37" s="29"/>
    </row>
    <row r="38" spans="1:18" x14ac:dyDescent="0.2">
      <c r="A38" s="160"/>
      <c r="B38" s="102"/>
      <c r="M38" s="84"/>
      <c r="N38" s="29"/>
    </row>
    <row r="39" spans="1:18" ht="13.5" thickBot="1" x14ac:dyDescent="0.25">
      <c r="A39" s="4"/>
      <c r="B39" s="4"/>
    </row>
    <row r="40" spans="1:18" ht="13.5" thickTop="1" x14ac:dyDescent="0.2">
      <c r="A40" s="113" t="s">
        <v>883</v>
      </c>
      <c r="B40" s="114"/>
      <c r="D40" s="386"/>
      <c r="H40" s="346" t="s">
        <v>84</v>
      </c>
      <c r="I40" s="169" t="s">
        <v>33</v>
      </c>
      <c r="J40" s="182"/>
      <c r="K40" s="171" t="s">
        <v>578</v>
      </c>
      <c r="L40"/>
      <c r="M40" s="220" t="s">
        <v>336</v>
      </c>
      <c r="N40"/>
    </row>
    <row r="41" spans="1:18" ht="13.5" thickBot="1" x14ac:dyDescent="0.25">
      <c r="A41" s="115" t="s">
        <v>884</v>
      </c>
      <c r="B41" s="116" t="s">
        <v>522</v>
      </c>
      <c r="D41" s="388"/>
      <c r="H41" s="347"/>
      <c r="I41" s="172" t="s">
        <v>575</v>
      </c>
      <c r="J41" s="173" t="s">
        <v>573</v>
      </c>
      <c r="K41" s="173" t="s">
        <v>101</v>
      </c>
      <c r="L41" s="246" t="s">
        <v>335</v>
      </c>
      <c r="M41" s="246" t="s">
        <v>900</v>
      </c>
      <c r="N41" s="246" t="s">
        <v>337</v>
      </c>
    </row>
    <row r="42" spans="1:18" ht="13.5" thickTop="1" x14ac:dyDescent="0.2">
      <c r="A42" s="164">
        <v>42702</v>
      </c>
      <c r="B42" s="117" t="s">
        <v>375</v>
      </c>
      <c r="D42" s="19"/>
      <c r="H42" s="19" t="s">
        <v>1329</v>
      </c>
      <c r="I42" s="19"/>
      <c r="J42" s="19"/>
      <c r="K42" s="168">
        <f>+'NAGE &amp; Non-Union Wages'!L14</f>
        <v>115934</v>
      </c>
      <c r="L42" s="185"/>
      <c r="M42">
        <v>4</v>
      </c>
      <c r="N42" s="2"/>
    </row>
    <row r="43" spans="1:18" x14ac:dyDescent="0.2">
      <c r="A43" s="165">
        <v>35717</v>
      </c>
      <c r="B43" s="69" t="s">
        <v>1488</v>
      </c>
      <c r="D43" s="14"/>
      <c r="H43" s="14" t="s">
        <v>1330</v>
      </c>
      <c r="I43" s="14">
        <f>+'NAGE &amp; Non-Union Wages'!L8</f>
        <v>28.02</v>
      </c>
      <c r="J43" s="14">
        <v>1828.5</v>
      </c>
      <c r="K43" s="168">
        <f>ROUND((+J43*I43),2)</f>
        <v>51234.57</v>
      </c>
      <c r="L43" s="185">
        <v>35717</v>
      </c>
      <c r="M43">
        <v>23</v>
      </c>
      <c r="N43" s="2">
        <v>900</v>
      </c>
    </row>
    <row r="44" spans="1:18" x14ac:dyDescent="0.2">
      <c r="A44" s="4"/>
      <c r="B44" s="4" t="s">
        <v>1065</v>
      </c>
      <c r="C44" s="25"/>
      <c r="D44" s="25"/>
      <c r="E44" s="25"/>
      <c r="F44" s="25"/>
      <c r="H44" s="25"/>
      <c r="I44" s="25"/>
      <c r="J44" s="25"/>
      <c r="K44" s="29"/>
      <c r="L44" s="25"/>
      <c r="M44" s="25"/>
      <c r="N44" s="25"/>
      <c r="O44" s="29"/>
      <c r="P44" s="185"/>
      <c r="R44" s="2"/>
    </row>
    <row r="45" spans="1:18" x14ac:dyDescent="0.2">
      <c r="A45" s="4"/>
      <c r="B45" s="4"/>
      <c r="C45" s="25"/>
      <c r="D45" s="25"/>
      <c r="E45" s="25"/>
      <c r="F45" s="25"/>
      <c r="H45" s="25"/>
      <c r="I45" s="25"/>
      <c r="J45" s="25"/>
      <c r="K45" s="29"/>
      <c r="L45" s="25"/>
      <c r="M45" s="25"/>
      <c r="N45" s="25"/>
      <c r="O45" s="29"/>
      <c r="P45" s="185"/>
      <c r="R45" s="2"/>
    </row>
    <row r="46" spans="1:18" ht="13.5" thickBot="1" x14ac:dyDescent="0.25">
      <c r="A46" s="72"/>
      <c r="B46" s="102"/>
      <c r="C46" s="25"/>
      <c r="D46" s="25"/>
      <c r="E46" s="25"/>
      <c r="F46" s="25"/>
      <c r="H46" s="25"/>
      <c r="I46" s="25"/>
      <c r="J46" s="25"/>
      <c r="K46" s="29"/>
      <c r="L46" s="25"/>
      <c r="M46" s="25"/>
      <c r="N46" s="25"/>
      <c r="O46" s="29"/>
      <c r="P46" s="185"/>
      <c r="R46" s="2"/>
    </row>
    <row r="47" spans="1:18" ht="13.5" thickTop="1" x14ac:dyDescent="0.2">
      <c r="A47" s="517"/>
      <c r="B47" s="518"/>
      <c r="C47" s="519" t="s">
        <v>122</v>
      </c>
      <c r="D47" s="520" t="s">
        <v>122</v>
      </c>
      <c r="E47" s="520" t="s">
        <v>122</v>
      </c>
      <c r="H47" s="521" t="s">
        <v>542</v>
      </c>
      <c r="I47" s="522" t="s">
        <v>9</v>
      </c>
      <c r="J47" s="523" t="s">
        <v>1073</v>
      </c>
      <c r="K47" s="522" t="s">
        <v>682</v>
      </c>
      <c r="L47" s="524"/>
      <c r="M47" s="523"/>
      <c r="N47" s="25"/>
      <c r="O47" s="29"/>
      <c r="P47" s="29"/>
      <c r="Q47" s="29"/>
      <c r="R47" s="2"/>
    </row>
    <row r="48" spans="1:18" ht="13.5" thickBot="1" x14ac:dyDescent="0.25">
      <c r="A48" s="525" t="s">
        <v>123</v>
      </c>
      <c r="B48" s="526"/>
      <c r="C48" s="527" t="s">
        <v>334</v>
      </c>
      <c r="D48" s="527" t="s">
        <v>718</v>
      </c>
      <c r="E48" s="528" t="s">
        <v>734</v>
      </c>
      <c r="H48" s="529" t="s">
        <v>899</v>
      </c>
      <c r="I48" s="529" t="s">
        <v>900</v>
      </c>
      <c r="J48" s="528" t="s">
        <v>1075</v>
      </c>
      <c r="K48" s="530" t="s">
        <v>1075</v>
      </c>
      <c r="L48" s="531" t="s">
        <v>1074</v>
      </c>
      <c r="M48" s="529"/>
      <c r="N48" s="25"/>
      <c r="O48" s="29"/>
      <c r="P48" s="29"/>
      <c r="Q48" s="29"/>
    </row>
    <row r="49" spans="1:17" ht="13.5" thickTop="1" x14ac:dyDescent="0.2">
      <c r="A49" s="548">
        <v>5111</v>
      </c>
      <c r="B49" s="549" t="s">
        <v>684</v>
      </c>
      <c r="C49" s="536">
        <v>87868.9</v>
      </c>
      <c r="D49" s="536">
        <v>95093</v>
      </c>
      <c r="E49" s="536">
        <v>98445</v>
      </c>
      <c r="H49" s="537">
        <f>+J8</f>
        <v>114221</v>
      </c>
      <c r="I49" s="568">
        <f>+L8</f>
        <v>167169</v>
      </c>
      <c r="J49" s="539">
        <f t="shared" ref="J49:J67" si="4">+I49-H49</f>
        <v>52948</v>
      </c>
      <c r="K49" s="545">
        <f>IF(H49+I49&lt;&gt;0,IF(H49&lt;&gt;0,IF(J49&lt;&gt;0,ROUND((+J49/H49),4),""),1),"")</f>
        <v>0.46360000000000001</v>
      </c>
      <c r="L49" s="538" t="s">
        <v>1578</v>
      </c>
      <c r="M49" s="539"/>
      <c r="N49" s="25"/>
      <c r="O49" s="29"/>
      <c r="P49" s="29"/>
      <c r="Q49" s="29"/>
    </row>
    <row r="50" spans="1:17" x14ac:dyDescent="0.2">
      <c r="A50" s="548">
        <v>5113</v>
      </c>
      <c r="B50" s="549" t="s">
        <v>685</v>
      </c>
      <c r="C50" s="536">
        <v>32158</v>
      </c>
      <c r="D50" s="536">
        <v>35092.639999999999</v>
      </c>
      <c r="E50" s="536">
        <v>38122.11</v>
      </c>
      <c r="H50" s="537">
        <f>+J9</f>
        <v>44243</v>
      </c>
      <c r="I50" s="568">
        <f>+L9</f>
        <v>0</v>
      </c>
      <c r="J50" s="539">
        <f t="shared" si="4"/>
        <v>-44243</v>
      </c>
      <c r="K50" s="545">
        <f>IF(H50+I50&lt;&gt;0,IF(H50&lt;&gt;0,IF(J50&lt;&gt;0,ROUND((+J50/H50),4),""),1),"")</f>
        <v>-1</v>
      </c>
      <c r="L50" s="538" t="s">
        <v>1579</v>
      </c>
      <c r="M50" s="539"/>
      <c r="N50" s="25"/>
      <c r="O50" s="29"/>
      <c r="P50" s="29"/>
      <c r="Q50" s="29"/>
    </row>
    <row r="51" spans="1:17" x14ac:dyDescent="0.2">
      <c r="A51" s="548">
        <v>5115</v>
      </c>
      <c r="B51" s="549" t="s">
        <v>556</v>
      </c>
      <c r="C51" s="544">
        <v>1000</v>
      </c>
      <c r="D51" s="544">
        <v>1500</v>
      </c>
      <c r="E51" s="544">
        <v>1500</v>
      </c>
      <c r="H51" s="537">
        <f>+J10</f>
        <v>2355</v>
      </c>
      <c r="I51" s="568">
        <f>+L10</f>
        <v>2355</v>
      </c>
      <c r="J51" s="539">
        <f t="shared" si="4"/>
        <v>0</v>
      </c>
      <c r="K51" s="545" t="str">
        <f t="shared" ref="K51:K67" si="5">IF(H51+I51&lt;&gt;0,IF(H51&lt;&gt;0,IF(J51&lt;&gt;0,ROUND((+J51/H51),4),""),1),"")</f>
        <v/>
      </c>
      <c r="L51" s="538"/>
      <c r="M51" s="539"/>
      <c r="N51" s="25"/>
      <c r="O51" s="29"/>
      <c r="P51" s="29"/>
      <c r="Q51" s="29"/>
    </row>
    <row r="52" spans="1:17" x14ac:dyDescent="0.2">
      <c r="A52" s="548">
        <v>5115</v>
      </c>
      <c r="B52" s="549" t="s">
        <v>525</v>
      </c>
      <c r="C52" s="550">
        <v>1000</v>
      </c>
      <c r="D52" s="550">
        <v>1500</v>
      </c>
      <c r="E52" s="550">
        <v>1500</v>
      </c>
      <c r="H52" s="537">
        <f>+J11</f>
        <v>2140</v>
      </c>
      <c r="I52" s="568">
        <f>+L11</f>
        <v>2140</v>
      </c>
      <c r="J52" s="539">
        <f t="shared" si="4"/>
        <v>0</v>
      </c>
      <c r="K52" s="545" t="str">
        <f t="shared" si="5"/>
        <v/>
      </c>
      <c r="L52" s="538"/>
      <c r="M52" s="539"/>
      <c r="N52" s="25"/>
      <c r="O52" s="29"/>
      <c r="P52" s="29"/>
      <c r="Q52" s="29"/>
    </row>
    <row r="53" spans="1:17" x14ac:dyDescent="0.2">
      <c r="A53" s="551">
        <v>5115</v>
      </c>
      <c r="B53" s="540" t="s">
        <v>526</v>
      </c>
      <c r="C53" s="544">
        <v>1000</v>
      </c>
      <c r="D53" s="544">
        <v>1500</v>
      </c>
      <c r="E53" s="544">
        <v>1500</v>
      </c>
      <c r="H53" s="537">
        <f>+J12</f>
        <v>2140</v>
      </c>
      <c r="I53" s="568">
        <f>+L12</f>
        <v>2140</v>
      </c>
      <c r="J53" s="539">
        <f t="shared" si="4"/>
        <v>0</v>
      </c>
      <c r="K53" s="545" t="str">
        <f t="shared" si="5"/>
        <v/>
      </c>
      <c r="L53" s="538"/>
      <c r="M53" s="539"/>
      <c r="N53" s="25"/>
      <c r="O53" s="29"/>
      <c r="P53" s="29"/>
      <c r="Q53" s="29"/>
    </row>
    <row r="54" spans="1:17" x14ac:dyDescent="0.2">
      <c r="A54" s="551">
        <v>5144</v>
      </c>
      <c r="B54" s="540" t="s">
        <v>152</v>
      </c>
      <c r="C54" s="544">
        <v>1050</v>
      </c>
      <c r="D54" s="544">
        <v>1100</v>
      </c>
      <c r="E54" s="544">
        <v>1100</v>
      </c>
      <c r="H54" s="537">
        <f t="shared" ref="H54:H55" si="6">+J14</f>
        <v>900</v>
      </c>
      <c r="I54" s="568">
        <f t="shared" ref="I54:I55" si="7">+L14</f>
        <v>900</v>
      </c>
      <c r="J54" s="539">
        <f t="shared" si="4"/>
        <v>0</v>
      </c>
      <c r="K54" s="545" t="str">
        <f t="shared" si="5"/>
        <v/>
      </c>
      <c r="L54" s="538"/>
      <c r="M54" s="539"/>
      <c r="N54" s="25"/>
      <c r="O54" s="29"/>
      <c r="P54" s="29"/>
      <c r="Q54" s="29"/>
    </row>
    <row r="55" spans="1:17" x14ac:dyDescent="0.2">
      <c r="A55" s="551">
        <v>5145</v>
      </c>
      <c r="B55" s="540" t="s">
        <v>598</v>
      </c>
      <c r="C55" s="546">
        <v>161.56</v>
      </c>
      <c r="D55" s="546">
        <v>300.04000000000002</v>
      </c>
      <c r="E55" s="546">
        <v>300.04000000000002</v>
      </c>
      <c r="H55" s="537">
        <f t="shared" si="6"/>
        <v>610</v>
      </c>
      <c r="I55" s="568">
        <f t="shared" si="7"/>
        <v>610</v>
      </c>
      <c r="J55" s="539">
        <f t="shared" si="4"/>
        <v>0</v>
      </c>
      <c r="K55" s="545" t="str">
        <f t="shared" si="5"/>
        <v/>
      </c>
      <c r="L55" s="538"/>
      <c r="M55" s="539"/>
      <c r="N55" s="25"/>
      <c r="O55" s="29"/>
      <c r="P55" s="29"/>
      <c r="Q55" s="29"/>
    </row>
    <row r="56" spans="1:17" x14ac:dyDescent="0.2">
      <c r="A56" s="551">
        <v>5314</v>
      </c>
      <c r="B56" s="540" t="s">
        <v>134</v>
      </c>
      <c r="C56" s="544">
        <v>155</v>
      </c>
      <c r="D56" s="544">
        <v>264</v>
      </c>
      <c r="E56" s="544">
        <v>234</v>
      </c>
      <c r="H56" s="537">
        <f t="shared" ref="H56:H67" si="8">+J22</f>
        <v>1270</v>
      </c>
      <c r="I56" s="568">
        <f t="shared" ref="I56:I67" si="9">+L22</f>
        <v>1000</v>
      </c>
      <c r="J56" s="539">
        <f t="shared" si="4"/>
        <v>-270</v>
      </c>
      <c r="K56" s="545">
        <f t="shared" si="5"/>
        <v>-0.21260000000000001</v>
      </c>
      <c r="L56" s="538" t="s">
        <v>1580</v>
      </c>
      <c r="M56" s="539"/>
      <c r="N56" s="25"/>
      <c r="O56" s="29"/>
      <c r="P56" s="29"/>
      <c r="Q56" s="29"/>
    </row>
    <row r="57" spans="1:17" x14ac:dyDescent="0.2">
      <c r="A57" s="551">
        <v>5315</v>
      </c>
      <c r="B57" s="540" t="s">
        <v>1042</v>
      </c>
      <c r="C57" s="544">
        <v>13</v>
      </c>
      <c r="D57" s="544"/>
      <c r="E57" s="544"/>
      <c r="H57" s="537">
        <f t="shared" si="8"/>
        <v>8000</v>
      </c>
      <c r="I57" s="568">
        <f t="shared" si="9"/>
        <v>7200</v>
      </c>
      <c r="J57" s="539">
        <f t="shared" si="4"/>
        <v>-800</v>
      </c>
      <c r="K57" s="545">
        <f t="shared" si="5"/>
        <v>-0.1</v>
      </c>
      <c r="L57" s="538" t="s">
        <v>1581</v>
      </c>
      <c r="M57" s="539"/>
      <c r="N57" s="25"/>
      <c r="O57" s="29"/>
      <c r="P57" s="29"/>
      <c r="Q57" s="29"/>
    </row>
    <row r="58" spans="1:17" hidden="1" x14ac:dyDescent="0.2">
      <c r="A58" s="551">
        <v>5341</v>
      </c>
      <c r="B58" s="540" t="s">
        <v>136</v>
      </c>
      <c r="C58" s="544">
        <v>622.19000000000005</v>
      </c>
      <c r="D58" s="544">
        <v>606.08000000000004</v>
      </c>
      <c r="E58" s="544">
        <v>609.53</v>
      </c>
      <c r="H58" s="537">
        <f t="shared" si="8"/>
        <v>0</v>
      </c>
      <c r="I58" s="568">
        <f t="shared" si="9"/>
        <v>0</v>
      </c>
      <c r="J58" s="539">
        <f t="shared" si="4"/>
        <v>0</v>
      </c>
      <c r="K58" s="545" t="str">
        <f t="shared" si="5"/>
        <v/>
      </c>
      <c r="L58" s="538"/>
      <c r="M58" s="539"/>
      <c r="N58" s="25"/>
      <c r="O58" s="29"/>
      <c r="P58" s="29"/>
      <c r="Q58" s="29"/>
    </row>
    <row r="59" spans="1:17" x14ac:dyDescent="0.2">
      <c r="A59" s="551">
        <v>5344</v>
      </c>
      <c r="B59" s="540" t="s">
        <v>137</v>
      </c>
      <c r="C59" s="544">
        <v>394.95</v>
      </c>
      <c r="D59" s="544">
        <v>15.26</v>
      </c>
      <c r="E59" s="544">
        <v>46.13</v>
      </c>
      <c r="H59" s="537">
        <f t="shared" si="8"/>
        <v>300</v>
      </c>
      <c r="I59" s="568">
        <f t="shared" si="9"/>
        <v>300</v>
      </c>
      <c r="J59" s="539">
        <f t="shared" si="4"/>
        <v>0</v>
      </c>
      <c r="K59" s="545" t="str">
        <f t="shared" si="5"/>
        <v/>
      </c>
      <c r="L59" s="538"/>
      <c r="M59" s="539"/>
      <c r="N59" s="25"/>
      <c r="O59" s="29"/>
      <c r="P59" s="29"/>
      <c r="Q59" s="29"/>
    </row>
    <row r="60" spans="1:17" x14ac:dyDescent="0.2">
      <c r="A60" s="551">
        <v>5345</v>
      </c>
      <c r="B60" s="540" t="s">
        <v>138</v>
      </c>
      <c r="C60" s="544">
        <v>215.57</v>
      </c>
      <c r="D60" s="544">
        <v>993.7</v>
      </c>
      <c r="E60" s="544">
        <v>1101.8</v>
      </c>
      <c r="H60" s="537">
        <f t="shared" si="8"/>
        <v>1050</v>
      </c>
      <c r="I60" s="568">
        <f t="shared" si="9"/>
        <v>1050</v>
      </c>
      <c r="J60" s="539">
        <f t="shared" si="4"/>
        <v>0</v>
      </c>
      <c r="K60" s="545" t="str">
        <f t="shared" si="5"/>
        <v/>
      </c>
      <c r="L60" s="538"/>
      <c r="M60" s="539"/>
      <c r="N60" s="25"/>
      <c r="O60" s="29"/>
      <c r="P60" s="29"/>
      <c r="Q60" s="29"/>
    </row>
    <row r="61" spans="1:17" x14ac:dyDescent="0.2">
      <c r="A61" s="551">
        <v>5420</v>
      </c>
      <c r="B61" s="540" t="s">
        <v>139</v>
      </c>
      <c r="C61" s="536">
        <v>961.77</v>
      </c>
      <c r="D61" s="536">
        <v>902.7</v>
      </c>
      <c r="E61" s="536">
        <v>1272.0899999999999</v>
      </c>
      <c r="H61" s="537">
        <f t="shared" si="8"/>
        <v>1600</v>
      </c>
      <c r="I61" s="568">
        <f t="shared" si="9"/>
        <v>1600</v>
      </c>
      <c r="J61" s="539">
        <f t="shared" si="4"/>
        <v>0</v>
      </c>
      <c r="K61" s="545" t="str">
        <f t="shared" si="5"/>
        <v/>
      </c>
      <c r="L61" s="538"/>
      <c r="M61" s="539"/>
      <c r="N61" s="25"/>
      <c r="O61" s="29"/>
      <c r="P61" s="29"/>
      <c r="Q61" s="29"/>
    </row>
    <row r="62" spans="1:17" x14ac:dyDescent="0.2">
      <c r="A62" s="551">
        <v>5450</v>
      </c>
      <c r="B62" s="540" t="s">
        <v>12</v>
      </c>
      <c r="C62" s="552"/>
      <c r="D62" s="552">
        <v>105.99</v>
      </c>
      <c r="E62" s="552"/>
      <c r="H62" s="537">
        <f t="shared" si="8"/>
        <v>500</v>
      </c>
      <c r="I62" s="568">
        <f t="shared" si="9"/>
        <v>500</v>
      </c>
      <c r="J62" s="539">
        <f t="shared" si="4"/>
        <v>0</v>
      </c>
      <c r="K62" s="545" t="str">
        <f t="shared" si="5"/>
        <v/>
      </c>
      <c r="L62" s="538"/>
      <c r="M62" s="539"/>
      <c r="N62" s="25"/>
      <c r="O62" s="29"/>
      <c r="P62" s="29"/>
      <c r="Q62" s="29"/>
    </row>
    <row r="63" spans="1:17" x14ac:dyDescent="0.2">
      <c r="A63" s="551">
        <v>5581</v>
      </c>
      <c r="B63" s="540" t="s">
        <v>141</v>
      </c>
      <c r="C63" s="554">
        <v>69</v>
      </c>
      <c r="D63" s="554">
        <v>157.4</v>
      </c>
      <c r="E63" s="554">
        <v>88.4</v>
      </c>
      <c r="H63" s="537">
        <f t="shared" si="8"/>
        <v>200</v>
      </c>
      <c r="I63" s="568">
        <f t="shared" si="9"/>
        <v>200</v>
      </c>
      <c r="J63" s="539">
        <f t="shared" si="4"/>
        <v>0</v>
      </c>
      <c r="K63" s="545" t="str">
        <f t="shared" si="5"/>
        <v/>
      </c>
      <c r="L63" s="538"/>
      <c r="M63" s="539"/>
      <c r="N63" s="25"/>
      <c r="O63" s="4"/>
      <c r="P63" s="4"/>
      <c r="Q63" s="4"/>
    </row>
    <row r="64" spans="1:17" x14ac:dyDescent="0.2">
      <c r="A64" s="551">
        <v>5582</v>
      </c>
      <c r="B64" s="540" t="s">
        <v>23</v>
      </c>
      <c r="C64" s="552">
        <v>10.9</v>
      </c>
      <c r="D64" s="552"/>
      <c r="E64" s="552"/>
      <c r="H64" s="537">
        <f t="shared" si="8"/>
        <v>750</v>
      </c>
      <c r="I64" s="568">
        <f t="shared" si="9"/>
        <v>600</v>
      </c>
      <c r="J64" s="539">
        <f t="shared" si="4"/>
        <v>-150</v>
      </c>
      <c r="K64" s="545">
        <f t="shared" si="5"/>
        <v>-0.2</v>
      </c>
      <c r="L64" s="538" t="s">
        <v>1582</v>
      </c>
      <c r="M64" s="539"/>
      <c r="N64" s="25"/>
      <c r="O64" s="4"/>
      <c r="P64" s="4"/>
      <c r="Q64" s="4"/>
    </row>
    <row r="65" spans="1:17" x14ac:dyDescent="0.2">
      <c r="A65" s="551">
        <v>5590</v>
      </c>
      <c r="B65" s="540" t="s">
        <v>990</v>
      </c>
      <c r="C65" s="552"/>
      <c r="D65" s="552"/>
      <c r="E65" s="552"/>
      <c r="H65" s="537">
        <f t="shared" si="8"/>
        <v>0</v>
      </c>
      <c r="I65" s="568">
        <f t="shared" si="9"/>
        <v>0</v>
      </c>
      <c r="J65" s="539">
        <f t="shared" si="4"/>
        <v>0</v>
      </c>
      <c r="K65" s="545" t="str">
        <f t="shared" si="5"/>
        <v/>
      </c>
      <c r="L65" s="538"/>
      <c r="M65" s="539"/>
      <c r="N65" s="25"/>
      <c r="O65" s="4"/>
      <c r="P65" s="4"/>
      <c r="Q65" s="4"/>
    </row>
    <row r="66" spans="1:17" x14ac:dyDescent="0.2">
      <c r="A66" s="551">
        <v>5710</v>
      </c>
      <c r="B66" s="540" t="s">
        <v>529</v>
      </c>
      <c r="C66" s="536">
        <v>798.35</v>
      </c>
      <c r="D66" s="536">
        <v>780.84</v>
      </c>
      <c r="E66" s="536">
        <v>851.39</v>
      </c>
      <c r="H66" s="537">
        <f t="shared" si="8"/>
        <v>1750</v>
      </c>
      <c r="I66" s="568">
        <f t="shared" si="9"/>
        <v>1750</v>
      </c>
      <c r="J66" s="539">
        <f t="shared" si="4"/>
        <v>0</v>
      </c>
      <c r="K66" s="545" t="str">
        <f t="shared" si="5"/>
        <v/>
      </c>
      <c r="L66" s="538"/>
      <c r="M66" s="539"/>
      <c r="N66" s="25"/>
      <c r="O66" s="4"/>
      <c r="P66" s="4"/>
      <c r="Q66" s="4"/>
    </row>
    <row r="67" spans="1:17" ht="13.5" thickBot="1" x14ac:dyDescent="0.25">
      <c r="A67" s="551">
        <v>5730</v>
      </c>
      <c r="B67" s="540" t="s">
        <v>142</v>
      </c>
      <c r="C67" s="542">
        <v>2157</v>
      </c>
      <c r="D67" s="542">
        <v>1952</v>
      </c>
      <c r="E67" s="542">
        <v>1997</v>
      </c>
      <c r="H67" s="537">
        <f t="shared" si="8"/>
        <v>2460</v>
      </c>
      <c r="I67" s="568">
        <f t="shared" si="9"/>
        <v>2500</v>
      </c>
      <c r="J67" s="539">
        <f t="shared" si="4"/>
        <v>40</v>
      </c>
      <c r="K67" s="545">
        <f t="shared" si="5"/>
        <v>1.6299999999999999E-2</v>
      </c>
      <c r="L67" s="538" t="s">
        <v>1583</v>
      </c>
      <c r="M67" s="539"/>
      <c r="N67" s="25"/>
      <c r="O67" s="4"/>
      <c r="P67" s="4"/>
      <c r="Q67" s="4"/>
    </row>
    <row r="68" spans="1:17" x14ac:dyDescent="0.2">
      <c r="A68" s="4"/>
      <c r="B68" s="4"/>
      <c r="C68" s="25"/>
      <c r="D68" s="25"/>
      <c r="E68" s="25"/>
      <c r="F68" s="25"/>
      <c r="G68" s="25"/>
      <c r="H68" s="25"/>
      <c r="I68" s="25"/>
      <c r="J68" s="25"/>
      <c r="K68" s="4"/>
      <c r="L68" s="25"/>
      <c r="M68" s="25"/>
      <c r="N68" s="25"/>
      <c r="O68" s="4"/>
      <c r="P68" s="4"/>
      <c r="Q68" s="4"/>
    </row>
    <row r="69" spans="1:17" x14ac:dyDescent="0.2">
      <c r="A69" s="4"/>
      <c r="B69" s="4" t="s">
        <v>1600</v>
      </c>
      <c r="C69" s="25"/>
      <c r="D69" s="25"/>
      <c r="E69" s="25"/>
      <c r="F69" s="25"/>
      <c r="G69" s="25"/>
      <c r="H69" s="849">
        <f>SUM(H49:H68)</f>
        <v>184489</v>
      </c>
      <c r="I69" s="849">
        <f>SUM(I49:I68)</f>
        <v>192014</v>
      </c>
      <c r="J69" s="208">
        <f t="shared" ref="J69" si="10">+I69-H69</f>
        <v>7525</v>
      </c>
      <c r="K69" s="850">
        <f t="shared" ref="K69" si="11">IF(H69+I69&lt;&gt;0,IF(H69&lt;&gt;0,IF(J69&lt;&gt;0,ROUND((+J69/H69),4),""),1),"")</f>
        <v>4.0800000000000003E-2</v>
      </c>
      <c r="L69" s="25"/>
      <c r="M69" s="25"/>
      <c r="N69" s="25"/>
      <c r="O69" s="4"/>
      <c r="P69" s="4"/>
      <c r="Q69" s="4"/>
    </row>
    <row r="70" spans="1:17" x14ac:dyDescent="0.2">
      <c r="A70" s="4"/>
      <c r="B70" s="4"/>
      <c r="C70" s="25"/>
      <c r="D70" s="25"/>
      <c r="E70" s="25"/>
      <c r="F70" s="25"/>
      <c r="G70" s="25"/>
      <c r="H70" s="25"/>
      <c r="I70" s="25"/>
      <c r="J70" s="25"/>
      <c r="K70" s="4"/>
      <c r="L70" s="25"/>
      <c r="M70" s="25"/>
      <c r="N70" s="25"/>
      <c r="O70" s="4"/>
      <c r="P70" s="4"/>
      <c r="Q70" s="4"/>
    </row>
    <row r="71" spans="1:17" x14ac:dyDescent="0.2">
      <c r="A71" s="4"/>
      <c r="B71" s="4"/>
      <c r="C71" s="25"/>
      <c r="D71" s="25"/>
      <c r="E71" s="25"/>
      <c r="F71" s="25"/>
      <c r="G71" s="25"/>
      <c r="H71" s="25"/>
      <c r="I71" s="25"/>
      <c r="J71" s="25"/>
      <c r="K71" s="4"/>
      <c r="L71" s="25"/>
      <c r="M71" s="25"/>
      <c r="N71" s="25"/>
      <c r="O71" s="4"/>
      <c r="P71" s="4"/>
      <c r="Q71" s="4"/>
    </row>
    <row r="72" spans="1:17" x14ac:dyDescent="0.2">
      <c r="A72" s="4"/>
      <c r="B72" s="4"/>
      <c r="C72" s="25"/>
      <c r="D72" s="25"/>
      <c r="E72" s="25"/>
      <c r="F72" s="25"/>
      <c r="G72" s="25"/>
      <c r="H72" s="25"/>
      <c r="I72" s="25"/>
      <c r="J72" s="25"/>
      <c r="K72" s="4"/>
      <c r="L72" s="25"/>
      <c r="M72" s="25"/>
      <c r="N72" s="25"/>
      <c r="O72" s="4"/>
      <c r="P72" s="4"/>
      <c r="Q72" s="4"/>
    </row>
    <row r="73" spans="1:17" x14ac:dyDescent="0.2">
      <c r="A73" s="4"/>
      <c r="B73" s="4"/>
      <c r="C73" s="25"/>
      <c r="D73" s="25"/>
      <c r="E73" s="25"/>
      <c r="F73" s="25"/>
      <c r="G73" s="25"/>
      <c r="H73" s="25"/>
      <c r="I73" s="25"/>
      <c r="J73" s="25"/>
      <c r="K73" s="4"/>
      <c r="L73" s="25"/>
      <c r="M73" s="25"/>
      <c r="N73" s="25"/>
      <c r="O73" s="4"/>
      <c r="P73" s="4"/>
      <c r="Q73" s="4"/>
    </row>
    <row r="74" spans="1:17" x14ac:dyDescent="0.2">
      <c r="A74" s="4"/>
      <c r="B74" s="4"/>
      <c r="C74" s="25"/>
      <c r="D74" s="25"/>
      <c r="E74" s="25"/>
      <c r="F74" s="25"/>
      <c r="G74" s="25"/>
      <c r="H74" s="25"/>
      <c r="I74" s="25"/>
      <c r="J74" s="25"/>
      <c r="K74" s="4"/>
      <c r="L74" s="25"/>
      <c r="M74" s="25"/>
      <c r="N74" s="25"/>
      <c r="O74" s="4"/>
      <c r="P74" s="4"/>
      <c r="Q74" s="4"/>
    </row>
    <row r="75" spans="1:17" x14ac:dyDescent="0.2">
      <c r="A75" s="4"/>
      <c r="B75" s="4"/>
      <c r="C75" s="25"/>
      <c r="D75" s="25"/>
      <c r="E75" s="25"/>
      <c r="F75" s="25"/>
      <c r="G75" s="25"/>
      <c r="H75" s="25"/>
      <c r="I75" s="25"/>
      <c r="J75" s="25"/>
      <c r="K75" s="4"/>
      <c r="L75" s="25"/>
      <c r="M75" s="25"/>
      <c r="N75" s="25"/>
      <c r="O75" s="4"/>
      <c r="P75" s="4"/>
      <c r="Q75" s="4"/>
    </row>
    <row r="76" spans="1:17" x14ac:dyDescent="0.2">
      <c r="A76" s="4"/>
      <c r="B76" s="4"/>
      <c r="C76" s="25"/>
      <c r="D76" s="25"/>
      <c r="E76" s="25"/>
      <c r="F76" s="25"/>
      <c r="G76" s="25"/>
      <c r="H76" s="25"/>
      <c r="I76" s="25"/>
      <c r="J76" s="25"/>
      <c r="K76" s="4"/>
      <c r="L76" s="25"/>
      <c r="M76" s="25"/>
      <c r="N76" s="25"/>
      <c r="O76" s="4"/>
      <c r="P76" s="4"/>
      <c r="Q76" s="4"/>
    </row>
    <row r="77" spans="1:17" x14ac:dyDescent="0.2">
      <c r="A77" s="4"/>
      <c r="B77" s="4"/>
      <c r="C77" s="25"/>
      <c r="D77" s="25"/>
      <c r="E77" s="25"/>
      <c r="F77" s="25"/>
      <c r="G77" s="25"/>
      <c r="H77" s="25"/>
      <c r="I77" s="25"/>
      <c r="J77" s="25"/>
      <c r="K77" s="4"/>
      <c r="L77" s="25"/>
      <c r="M77" s="25"/>
      <c r="N77" s="25"/>
      <c r="O77" s="4"/>
      <c r="P77" s="4"/>
      <c r="Q77" s="4"/>
    </row>
    <row r="78" spans="1:17" x14ac:dyDescent="0.2">
      <c r="A78" s="4"/>
      <c r="B78" s="4"/>
      <c r="C78" s="25"/>
      <c r="D78" s="25"/>
      <c r="E78" s="25"/>
      <c r="F78" s="25"/>
      <c r="G78" s="25"/>
      <c r="H78" s="25"/>
      <c r="I78" s="25"/>
      <c r="J78" s="25"/>
      <c r="K78" s="4"/>
      <c r="L78" s="25"/>
      <c r="M78" s="25"/>
      <c r="N78" s="25"/>
      <c r="O78" s="4"/>
      <c r="P78" s="4"/>
      <c r="Q78" s="4"/>
    </row>
    <row r="79" spans="1:17" x14ac:dyDescent="0.2">
      <c r="A79" s="4"/>
      <c r="B79" s="4"/>
      <c r="C79" s="25"/>
      <c r="D79" s="25"/>
      <c r="E79" s="25"/>
      <c r="F79" s="25"/>
      <c r="G79" s="25"/>
      <c r="H79" s="25"/>
      <c r="I79" s="25"/>
      <c r="J79" s="25"/>
      <c r="K79" s="4"/>
      <c r="L79" s="25"/>
      <c r="M79" s="25"/>
      <c r="N79" s="25"/>
      <c r="O79" s="4"/>
      <c r="P79" s="4"/>
      <c r="Q79" s="4"/>
    </row>
    <row r="80" spans="1:17" x14ac:dyDescent="0.2">
      <c r="A80" s="4"/>
      <c r="B80" s="4"/>
      <c r="C80" s="25"/>
      <c r="D80" s="25"/>
      <c r="E80" s="25"/>
      <c r="F80" s="25"/>
      <c r="G80" s="25"/>
      <c r="H80" s="25"/>
      <c r="I80" s="25"/>
      <c r="J80" s="25"/>
      <c r="K80" s="4"/>
      <c r="L80" s="25"/>
      <c r="M80" s="25"/>
      <c r="N80" s="25"/>
      <c r="O80" s="4"/>
      <c r="P80" s="4"/>
      <c r="Q80" s="4"/>
    </row>
    <row r="81" spans="1:17" x14ac:dyDescent="0.2">
      <c r="A81" s="4"/>
      <c r="B81" s="4"/>
      <c r="C81" s="25"/>
      <c r="D81" s="25"/>
      <c r="E81" s="25"/>
      <c r="F81" s="25"/>
      <c r="G81" s="25"/>
      <c r="H81" s="25"/>
      <c r="I81" s="25"/>
      <c r="J81" s="25"/>
      <c r="K81" s="4"/>
      <c r="L81" s="25"/>
      <c r="M81" s="25"/>
      <c r="N81" s="25"/>
      <c r="O81" s="4"/>
      <c r="P81" s="4"/>
      <c r="Q81" s="4"/>
    </row>
    <row r="82" spans="1:17" x14ac:dyDescent="0.2">
      <c r="A82" s="4"/>
      <c r="B82" s="4"/>
      <c r="C82" s="25"/>
      <c r="D82" s="25"/>
      <c r="E82" s="25"/>
      <c r="F82" s="25"/>
      <c r="G82" s="25"/>
      <c r="H82" s="25"/>
      <c r="I82" s="25"/>
      <c r="J82" s="25"/>
      <c r="K82" s="4"/>
      <c r="L82" s="25"/>
      <c r="M82" s="25"/>
      <c r="N82" s="25"/>
      <c r="O82" s="4"/>
      <c r="P82" s="4"/>
      <c r="Q82" s="4"/>
    </row>
    <row r="83" spans="1:17" x14ac:dyDescent="0.2">
      <c r="A83" s="4"/>
      <c r="B83" s="4"/>
      <c r="C83" s="25"/>
      <c r="D83" s="25"/>
      <c r="E83" s="25"/>
      <c r="F83" s="25"/>
      <c r="G83" s="25"/>
      <c r="H83" s="25"/>
      <c r="I83" s="25"/>
      <c r="J83" s="25"/>
      <c r="K83" s="4"/>
      <c r="L83" s="25"/>
      <c r="M83" s="25"/>
      <c r="N83" s="25"/>
      <c r="O83" s="4"/>
      <c r="P83" s="4"/>
      <c r="Q83" s="4"/>
    </row>
    <row r="84" spans="1:17" x14ac:dyDescent="0.2">
      <c r="A84" s="4"/>
      <c r="B84" s="4"/>
      <c r="C84" s="25"/>
      <c r="D84" s="25"/>
      <c r="E84" s="25"/>
      <c r="F84" s="25"/>
      <c r="G84" s="25"/>
      <c r="H84" s="25"/>
      <c r="I84" s="25"/>
      <c r="J84" s="25"/>
      <c r="K84" s="4"/>
      <c r="L84" s="25"/>
      <c r="M84" s="25"/>
      <c r="N84" s="25"/>
      <c r="O84" s="4"/>
      <c r="P84" s="4"/>
      <c r="Q84" s="4"/>
    </row>
    <row r="85" spans="1:17" x14ac:dyDescent="0.2">
      <c r="A85" s="4"/>
      <c r="B85" s="4"/>
      <c r="C85" s="25"/>
      <c r="D85" s="25"/>
      <c r="E85" s="25"/>
      <c r="F85" s="25"/>
      <c r="G85" s="25"/>
      <c r="H85" s="25"/>
      <c r="I85" s="25"/>
      <c r="J85" s="25"/>
      <c r="K85" s="4"/>
      <c r="L85" s="25"/>
      <c r="M85" s="25"/>
      <c r="N85" s="25"/>
      <c r="O85" s="4"/>
      <c r="P85" s="4"/>
      <c r="Q85" s="4"/>
    </row>
    <row r="86" spans="1:17" x14ac:dyDescent="0.2">
      <c r="A86" s="4"/>
      <c r="B86" s="4"/>
      <c r="C86" s="25"/>
      <c r="D86" s="25"/>
      <c r="E86" s="25"/>
      <c r="F86" s="25"/>
      <c r="G86" s="25"/>
      <c r="H86" s="25"/>
      <c r="I86" s="25"/>
      <c r="J86" s="25"/>
      <c r="K86" s="4"/>
      <c r="L86" s="25"/>
      <c r="M86" s="25"/>
      <c r="N86" s="25"/>
      <c r="O86" s="4"/>
      <c r="P86" s="4"/>
      <c r="Q86" s="4"/>
    </row>
    <row r="87" spans="1:17" x14ac:dyDescent="0.2">
      <c r="A87" s="4"/>
      <c r="B87" s="4"/>
      <c r="C87" s="25"/>
      <c r="D87" s="25"/>
      <c r="E87" s="25"/>
      <c r="F87" s="25"/>
      <c r="G87" s="25"/>
      <c r="H87" s="25"/>
      <c r="I87" s="25"/>
      <c r="J87" s="25"/>
      <c r="K87" s="4"/>
      <c r="L87" s="25"/>
      <c r="M87" s="25"/>
      <c r="N87" s="25"/>
      <c r="O87" s="4"/>
      <c r="P87" s="4"/>
      <c r="Q87" s="4"/>
    </row>
    <row r="88" spans="1:17" x14ac:dyDescent="0.2">
      <c r="A88" s="4"/>
      <c r="B88" s="4"/>
      <c r="C88" s="25"/>
      <c r="D88" s="25"/>
      <c r="E88" s="25"/>
      <c r="F88" s="25"/>
      <c r="G88" s="25"/>
      <c r="H88" s="25"/>
      <c r="I88" s="25"/>
      <c r="J88" s="25"/>
      <c r="K88" s="4"/>
      <c r="L88" s="25"/>
      <c r="M88" s="25"/>
      <c r="N88" s="25"/>
      <c r="O88" s="4"/>
      <c r="P88" s="4"/>
      <c r="Q88" s="4"/>
    </row>
    <row r="89" spans="1:17" x14ac:dyDescent="0.2">
      <c r="A89" s="4"/>
      <c r="B89" s="4"/>
      <c r="C89" s="25"/>
      <c r="D89" s="25"/>
      <c r="E89" s="25"/>
      <c r="F89" s="25"/>
      <c r="G89" s="25"/>
      <c r="H89" s="25"/>
      <c r="I89" s="25"/>
      <c r="J89" s="25"/>
      <c r="K89" s="4"/>
      <c r="L89" s="25"/>
      <c r="M89" s="25"/>
      <c r="N89" s="25"/>
      <c r="O89" s="4"/>
      <c r="P89" s="4"/>
      <c r="Q89" s="4"/>
    </row>
    <row r="90" spans="1:17" x14ac:dyDescent="0.2">
      <c r="A90" s="4"/>
      <c r="B90" s="4"/>
      <c r="C90" s="25"/>
      <c r="D90" s="25"/>
      <c r="E90" s="25"/>
      <c r="F90" s="25"/>
      <c r="G90" s="25"/>
      <c r="H90" s="25"/>
      <c r="I90" s="25"/>
      <c r="J90" s="25"/>
      <c r="K90" s="4"/>
      <c r="L90" s="25"/>
      <c r="M90" s="25"/>
      <c r="N90" s="25"/>
      <c r="O90" s="4"/>
      <c r="P90" s="4"/>
      <c r="Q90" s="4"/>
    </row>
    <row r="91" spans="1:17" x14ac:dyDescent="0.2">
      <c r="A91" s="4"/>
      <c r="B91" s="4"/>
      <c r="C91" s="25"/>
      <c r="D91" s="25"/>
      <c r="E91" s="25"/>
      <c r="F91" s="25"/>
      <c r="G91" s="25"/>
      <c r="H91" s="25"/>
      <c r="I91" s="25"/>
      <c r="J91" s="25"/>
      <c r="K91" s="4"/>
      <c r="L91" s="25"/>
      <c r="M91" s="25"/>
      <c r="N91" s="25"/>
      <c r="O91" s="4"/>
      <c r="P91" s="4"/>
      <c r="Q91" s="4"/>
    </row>
    <row r="92" spans="1:17" x14ac:dyDescent="0.2">
      <c r="A92" s="4"/>
      <c r="B92" s="4"/>
      <c r="C92" s="25"/>
      <c r="D92" s="25"/>
      <c r="E92" s="25"/>
      <c r="F92" s="25"/>
      <c r="G92" s="25"/>
      <c r="H92" s="25"/>
      <c r="I92" s="25"/>
      <c r="J92" s="25"/>
      <c r="K92" s="4"/>
      <c r="L92" s="25"/>
      <c r="M92" s="25"/>
      <c r="N92" s="25"/>
      <c r="O92" s="4"/>
      <c r="P92" s="4"/>
      <c r="Q92" s="4"/>
    </row>
    <row r="93" spans="1:17" x14ac:dyDescent="0.2">
      <c r="A93" s="4"/>
      <c r="B93" s="4"/>
      <c r="C93" s="25"/>
      <c r="D93" s="25"/>
      <c r="E93" s="25"/>
      <c r="F93" s="25"/>
      <c r="G93" s="25"/>
      <c r="H93" s="25"/>
      <c r="I93" s="25"/>
      <c r="J93" s="25"/>
      <c r="K93" s="4"/>
      <c r="L93" s="25"/>
      <c r="M93" s="25"/>
      <c r="N93" s="25"/>
      <c r="O93" s="4"/>
      <c r="P93" s="4"/>
      <c r="Q93" s="4"/>
    </row>
    <row r="94" spans="1:17" x14ac:dyDescent="0.2">
      <c r="A94" s="4"/>
      <c r="B94" s="4"/>
      <c r="C94" s="25"/>
      <c r="D94" s="25"/>
      <c r="E94" s="25"/>
      <c r="F94" s="25"/>
      <c r="G94" s="25"/>
      <c r="H94" s="25"/>
      <c r="I94" s="25"/>
      <c r="J94" s="25"/>
      <c r="K94" s="4"/>
      <c r="L94" s="25"/>
      <c r="M94" s="25"/>
      <c r="N94" s="25"/>
      <c r="O94" s="4"/>
      <c r="P94" s="4"/>
      <c r="Q94" s="4"/>
    </row>
    <row r="95" spans="1:17" x14ac:dyDescent="0.2">
      <c r="A95" s="4"/>
      <c r="B95" s="4"/>
      <c r="C95" s="25"/>
      <c r="D95" s="25"/>
      <c r="E95" s="25"/>
      <c r="F95" s="25"/>
      <c r="G95" s="25"/>
      <c r="H95" s="25"/>
      <c r="I95" s="25"/>
      <c r="J95" s="25"/>
      <c r="K95" s="4"/>
      <c r="L95" s="25"/>
      <c r="M95" s="25"/>
      <c r="N95" s="25"/>
      <c r="O95" s="4"/>
      <c r="P95" s="4"/>
      <c r="Q95" s="4"/>
    </row>
    <row r="96" spans="1:17" x14ac:dyDescent="0.2">
      <c r="A96" s="4"/>
      <c r="B96" s="4"/>
      <c r="C96" s="25"/>
      <c r="D96" s="25"/>
      <c r="E96" s="25"/>
      <c r="F96" s="25"/>
      <c r="G96" s="25"/>
      <c r="H96" s="25"/>
      <c r="I96" s="25"/>
      <c r="J96" s="25"/>
      <c r="K96" s="4"/>
      <c r="L96" s="25"/>
      <c r="M96" s="25"/>
      <c r="N96" s="25"/>
      <c r="O96" s="4"/>
      <c r="P96" s="4"/>
      <c r="Q96" s="4"/>
    </row>
    <row r="97" spans="1:17" x14ac:dyDescent="0.2">
      <c r="A97" s="4"/>
      <c r="B97" s="4"/>
      <c r="C97" s="25"/>
      <c r="D97" s="25"/>
      <c r="E97" s="25"/>
      <c r="F97" s="25"/>
      <c r="G97" s="25"/>
      <c r="H97" s="25"/>
      <c r="I97" s="25"/>
      <c r="J97" s="25"/>
      <c r="K97" s="4"/>
      <c r="L97" s="25"/>
      <c r="M97" s="25"/>
      <c r="N97" s="25"/>
      <c r="O97" s="4"/>
      <c r="P97" s="4"/>
      <c r="Q97" s="4"/>
    </row>
    <row r="98" spans="1:17" x14ac:dyDescent="0.2">
      <c r="A98" s="4"/>
      <c r="B98" s="4"/>
      <c r="C98" s="25"/>
      <c r="D98" s="25"/>
      <c r="E98" s="25"/>
      <c r="F98" s="25"/>
      <c r="G98" s="25"/>
      <c r="H98" s="25"/>
      <c r="I98" s="25"/>
      <c r="J98" s="25"/>
      <c r="K98" s="4"/>
      <c r="L98" s="25"/>
      <c r="M98" s="25"/>
      <c r="N98" s="25"/>
      <c r="O98" s="4"/>
      <c r="P98" s="4"/>
      <c r="Q98" s="4"/>
    </row>
    <row r="99" spans="1:17" x14ac:dyDescent="0.2">
      <c r="A99" s="4"/>
      <c r="B99" s="4"/>
      <c r="C99" s="25"/>
      <c r="D99" s="25"/>
      <c r="E99" s="25"/>
      <c r="F99" s="25"/>
      <c r="G99" s="25"/>
      <c r="H99" s="25"/>
      <c r="I99" s="25"/>
      <c r="J99" s="25"/>
      <c r="K99" s="4"/>
      <c r="L99" s="25"/>
      <c r="M99" s="25"/>
      <c r="N99" s="25"/>
      <c r="O99" s="4"/>
      <c r="P99" s="4"/>
      <c r="Q99" s="4"/>
    </row>
    <row r="100" spans="1:17" x14ac:dyDescent="0.2">
      <c r="A100" s="4"/>
      <c r="B100" s="4"/>
      <c r="C100" s="25"/>
      <c r="D100" s="25"/>
      <c r="E100" s="25"/>
      <c r="F100" s="25"/>
      <c r="G100" s="25"/>
      <c r="H100" s="25"/>
      <c r="I100" s="25"/>
      <c r="J100" s="25"/>
      <c r="K100" s="4"/>
      <c r="L100" s="25"/>
      <c r="M100" s="25"/>
      <c r="N100" s="25"/>
      <c r="O100" s="4"/>
      <c r="P100" s="4"/>
      <c r="Q100" s="4"/>
    </row>
    <row r="101" spans="1:17" x14ac:dyDescent="0.2">
      <c r="A101" s="4"/>
      <c r="B101" s="4"/>
      <c r="C101" s="25"/>
      <c r="D101" s="25"/>
      <c r="E101" s="25"/>
      <c r="F101" s="25"/>
      <c r="G101" s="25"/>
      <c r="H101" s="25"/>
      <c r="I101" s="25"/>
      <c r="J101" s="25"/>
      <c r="K101" s="4"/>
      <c r="L101" s="25"/>
      <c r="M101" s="25"/>
      <c r="N101" s="25"/>
      <c r="O101" s="4"/>
      <c r="P101" s="4"/>
      <c r="Q101" s="4"/>
    </row>
    <row r="102" spans="1:17" x14ac:dyDescent="0.2">
      <c r="A102" s="4"/>
      <c r="B102" s="4"/>
      <c r="C102" s="25"/>
      <c r="D102" s="25"/>
      <c r="E102" s="25"/>
      <c r="F102" s="25"/>
      <c r="G102" s="25"/>
      <c r="H102" s="25"/>
      <c r="I102" s="25"/>
      <c r="J102" s="25"/>
      <c r="K102" s="4"/>
      <c r="L102" s="25"/>
      <c r="M102" s="25"/>
      <c r="N102" s="25"/>
      <c r="O102" s="4"/>
      <c r="P102" s="4"/>
      <c r="Q102" s="4"/>
    </row>
    <row r="103" spans="1:17" x14ac:dyDescent="0.2">
      <c r="A103" s="4"/>
      <c r="B103" s="4"/>
      <c r="C103" s="25"/>
      <c r="D103" s="25"/>
      <c r="E103" s="25"/>
      <c r="F103" s="25"/>
      <c r="G103" s="25"/>
      <c r="H103" s="25"/>
      <c r="I103" s="25"/>
      <c r="J103" s="25"/>
      <c r="K103" s="4"/>
      <c r="L103" s="25"/>
      <c r="M103" s="25"/>
      <c r="N103" s="25"/>
      <c r="O103" s="4"/>
      <c r="P103" s="4"/>
      <c r="Q103" s="4"/>
    </row>
    <row r="104" spans="1:17" x14ac:dyDescent="0.2">
      <c r="A104" s="4"/>
      <c r="B104" s="4"/>
      <c r="C104" s="25"/>
      <c r="D104" s="25"/>
      <c r="E104" s="25"/>
      <c r="F104" s="25"/>
      <c r="G104" s="25"/>
      <c r="H104" s="25"/>
      <c r="I104" s="25"/>
      <c r="J104" s="25"/>
      <c r="K104" s="4"/>
      <c r="L104" s="25"/>
      <c r="M104" s="25"/>
      <c r="N104" s="25"/>
      <c r="O104" s="4"/>
      <c r="P104" s="4"/>
      <c r="Q104" s="4"/>
    </row>
    <row r="105" spans="1:17" x14ac:dyDescent="0.2">
      <c r="A105" s="4"/>
      <c r="B105" s="4"/>
      <c r="C105" s="25"/>
      <c r="D105" s="25"/>
      <c r="E105" s="25"/>
      <c r="F105" s="25"/>
      <c r="G105" s="25"/>
      <c r="H105" s="25"/>
      <c r="I105" s="25"/>
      <c r="J105" s="25"/>
      <c r="K105" s="4"/>
      <c r="L105" s="25"/>
      <c r="M105" s="25"/>
      <c r="N105" s="25"/>
      <c r="O105" s="4"/>
      <c r="P105" s="4"/>
      <c r="Q105" s="4"/>
    </row>
    <row r="106" spans="1:17" x14ac:dyDescent="0.2">
      <c r="A106" s="4"/>
      <c r="B106" s="4"/>
      <c r="C106" s="25"/>
      <c r="D106" s="25"/>
      <c r="E106" s="25"/>
      <c r="F106" s="25"/>
      <c r="G106" s="25"/>
      <c r="H106" s="25"/>
      <c r="I106" s="25"/>
      <c r="J106" s="25"/>
      <c r="K106" s="4"/>
      <c r="L106" s="25"/>
      <c r="M106" s="25"/>
      <c r="N106" s="25"/>
      <c r="O106" s="4"/>
      <c r="P106" s="4"/>
      <c r="Q106" s="4"/>
    </row>
    <row r="107" spans="1:17" x14ac:dyDescent="0.2">
      <c r="A107" s="4"/>
      <c r="B107" s="4"/>
      <c r="C107" s="25"/>
      <c r="D107" s="25"/>
      <c r="E107" s="25"/>
      <c r="F107" s="25"/>
      <c r="G107" s="25"/>
      <c r="H107" s="25"/>
      <c r="I107" s="25"/>
      <c r="J107" s="25"/>
      <c r="K107" s="4"/>
      <c r="L107" s="25"/>
      <c r="M107" s="25"/>
      <c r="N107" s="25"/>
      <c r="O107" s="4"/>
      <c r="P107" s="4"/>
      <c r="Q107" s="4"/>
    </row>
    <row r="108" spans="1:17" x14ac:dyDescent="0.2">
      <c r="A108" s="4"/>
      <c r="B108" s="4"/>
      <c r="C108" s="25"/>
      <c r="D108" s="25"/>
      <c r="E108" s="25"/>
      <c r="F108" s="25"/>
      <c r="G108" s="25"/>
      <c r="H108" s="25"/>
      <c r="I108" s="25"/>
      <c r="J108" s="25"/>
      <c r="K108" s="4"/>
      <c r="L108" s="25"/>
      <c r="M108" s="25"/>
      <c r="N108" s="25"/>
      <c r="O108" s="4"/>
      <c r="P108" s="4"/>
      <c r="Q108" s="4"/>
    </row>
    <row r="109" spans="1:17" x14ac:dyDescent="0.2">
      <c r="A109" s="4"/>
      <c r="B109" s="4"/>
      <c r="C109" s="25"/>
      <c r="D109" s="25"/>
      <c r="E109" s="25"/>
      <c r="F109" s="25"/>
      <c r="G109" s="25"/>
      <c r="H109" s="25"/>
      <c r="I109" s="25"/>
      <c r="J109" s="25"/>
      <c r="K109" s="4"/>
      <c r="L109" s="25"/>
      <c r="M109" s="25"/>
      <c r="N109" s="25"/>
      <c r="O109" s="4"/>
      <c r="P109" s="4"/>
      <c r="Q109" s="4"/>
    </row>
    <row r="110" spans="1:17" x14ac:dyDescent="0.2">
      <c r="A110" s="4"/>
      <c r="B110" s="4"/>
      <c r="C110" s="25"/>
      <c r="D110" s="25"/>
      <c r="E110" s="25"/>
      <c r="F110" s="25"/>
      <c r="G110" s="25"/>
      <c r="H110" s="25"/>
      <c r="I110" s="25"/>
      <c r="J110" s="25"/>
      <c r="K110" s="4"/>
      <c r="L110" s="25"/>
      <c r="M110" s="25"/>
      <c r="N110" s="25"/>
      <c r="O110" s="4"/>
      <c r="P110" s="4"/>
      <c r="Q110" s="4"/>
    </row>
    <row r="111" spans="1:17" x14ac:dyDescent="0.2">
      <c r="C111" s="121"/>
    </row>
    <row r="112" spans="1:17" x14ac:dyDescent="0.2">
      <c r="C112" s="121"/>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row r="128" spans="3:3"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sheetData>
  <phoneticPr fontId="0" type="noConversion"/>
  <hyperlinks>
    <hyperlink ref="A1" location="'Working Budget with funding det'!A1" display="Main "/>
    <hyperlink ref="B1" location="'Table of Contents'!A1" display="TOC"/>
  </hyperlinks>
  <pageMargins left="0.75" right="0.75" top="1" bottom="1" header="0.5" footer="0.5"/>
  <pageSetup fitToHeight="0" orientation="landscape" horizontalDpi="300" verticalDpi="300" r:id="rId1"/>
  <headerFooter alignWithMargins="0">
    <oddFooter>&amp;L&amp;D     &amp;T&amp;C &amp;F&amp;R&amp;A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5"/>
  <sheetViews>
    <sheetView zoomScale="85" workbookViewId="0">
      <pane ySplit="7" topLeftCell="A8" activePane="bottomLeft" state="frozen"/>
      <selection activeCell="K15" sqref="K15"/>
      <selection pane="bottomLeft" activeCell="A24" sqref="A24:B29"/>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2" width="14.5" style="1" customWidth="1"/>
    <col min="13" max="15" width="14.5" customWidth="1"/>
    <col min="16" max="16" width="14.6640625" style="2" customWidth="1"/>
  </cols>
  <sheetData>
    <row r="1" spans="1:15" x14ac:dyDescent="0.2">
      <c r="A1" s="410" t="s">
        <v>1013</v>
      </c>
      <c r="B1" s="410" t="s">
        <v>1418</v>
      </c>
    </row>
    <row r="2" spans="1:15" ht="15" x14ac:dyDescent="0.25">
      <c r="A2" s="49" t="s">
        <v>254</v>
      </c>
      <c r="B2" s="49"/>
      <c r="E2" s="153"/>
      <c r="H2" s="153" t="s">
        <v>252</v>
      </c>
      <c r="I2" s="153"/>
      <c r="J2" s="153"/>
      <c r="K2" s="67" t="s">
        <v>273</v>
      </c>
      <c r="M2" s="50" t="s">
        <v>470</v>
      </c>
    </row>
    <row r="3" spans="1:15" ht="13.5" thickBot="1" x14ac:dyDescent="0.25">
      <c r="A3" s="4"/>
      <c r="B3" s="4"/>
      <c r="C3" s="25"/>
      <c r="D3" s="25"/>
      <c r="E3" s="25"/>
      <c r="F3" s="25"/>
      <c r="G3" s="25"/>
      <c r="H3" s="25"/>
      <c r="I3" s="25"/>
      <c r="J3" s="25"/>
      <c r="K3" s="4"/>
      <c r="L3" s="25"/>
      <c r="M3" s="4"/>
      <c r="O3" s="4"/>
    </row>
    <row r="4" spans="1:15"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5" x14ac:dyDescent="0.2">
      <c r="A5" s="93"/>
      <c r="B5" s="216"/>
      <c r="C5" s="137"/>
      <c r="D5" s="94"/>
      <c r="E5" s="120"/>
      <c r="F5" s="94"/>
      <c r="G5" s="94"/>
      <c r="H5" s="120"/>
      <c r="I5" s="318"/>
      <c r="J5" s="318"/>
      <c r="K5" s="120" t="s">
        <v>509</v>
      </c>
      <c r="L5" s="95" t="s">
        <v>7</v>
      </c>
      <c r="M5" s="209" t="s">
        <v>783</v>
      </c>
    </row>
    <row r="6" spans="1:15" x14ac:dyDescent="0.2">
      <c r="A6" s="93"/>
      <c r="B6" s="216"/>
      <c r="C6" s="137"/>
      <c r="D6" s="137"/>
      <c r="E6" s="137"/>
      <c r="F6" s="94"/>
      <c r="G6" s="137"/>
      <c r="H6" s="137"/>
      <c r="I6" s="95"/>
      <c r="J6" s="95"/>
      <c r="K6" s="137"/>
      <c r="L6" s="95" t="s">
        <v>8</v>
      </c>
      <c r="M6" s="51" t="s">
        <v>537</v>
      </c>
    </row>
    <row r="7" spans="1:15"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5" ht="13.5" thickTop="1" x14ac:dyDescent="0.2">
      <c r="A8" s="30"/>
      <c r="B8" s="218"/>
      <c r="C8" s="142"/>
      <c r="D8" s="19"/>
      <c r="E8" s="19"/>
      <c r="F8" s="19"/>
      <c r="G8" s="19"/>
      <c r="H8" s="19"/>
      <c r="I8" s="19"/>
      <c r="J8" s="20"/>
      <c r="K8" s="19"/>
      <c r="L8" s="20"/>
      <c r="M8" s="210"/>
    </row>
    <row r="9" spans="1:15" x14ac:dyDescent="0.2">
      <c r="A9" s="12">
        <v>5305</v>
      </c>
      <c r="B9" s="69" t="s">
        <v>143</v>
      </c>
      <c r="C9" s="140">
        <v>280</v>
      </c>
      <c r="D9" s="14">
        <v>0</v>
      </c>
      <c r="E9" s="14">
        <v>247.35</v>
      </c>
      <c r="F9" s="14">
        <v>296.82</v>
      </c>
      <c r="G9" s="14">
        <v>246</v>
      </c>
      <c r="H9" s="14">
        <v>288</v>
      </c>
      <c r="I9" s="14">
        <v>377.4</v>
      </c>
      <c r="J9" s="15">
        <v>280</v>
      </c>
      <c r="K9" s="14"/>
      <c r="L9" s="15">
        <v>420</v>
      </c>
      <c r="M9" s="15"/>
    </row>
    <row r="10" spans="1:15" x14ac:dyDescent="0.2">
      <c r="A10" s="12">
        <v>5314</v>
      </c>
      <c r="B10" s="69" t="s">
        <v>134</v>
      </c>
      <c r="C10" s="140">
        <v>45</v>
      </c>
      <c r="D10" s="14">
        <v>40</v>
      </c>
      <c r="E10" s="14">
        <v>50</v>
      </c>
      <c r="F10" s="14">
        <v>55</v>
      </c>
      <c r="G10" s="14"/>
      <c r="H10" s="14"/>
      <c r="I10" s="14">
        <v>0</v>
      </c>
      <c r="J10" s="15">
        <v>110</v>
      </c>
      <c r="K10" s="14">
        <v>150</v>
      </c>
      <c r="L10" s="15">
        <v>200</v>
      </c>
      <c r="M10" s="15"/>
    </row>
    <row r="11" spans="1:15" x14ac:dyDescent="0.2">
      <c r="A11" s="12">
        <v>5344</v>
      </c>
      <c r="B11" s="69" t="s">
        <v>137</v>
      </c>
      <c r="C11" s="140"/>
      <c r="D11" s="14">
        <v>0</v>
      </c>
      <c r="E11" s="14"/>
      <c r="F11" s="14"/>
      <c r="G11" s="14"/>
      <c r="H11" s="14"/>
      <c r="I11" s="14">
        <v>115.68</v>
      </c>
      <c r="J11" s="15"/>
      <c r="K11" s="14"/>
      <c r="L11" s="15"/>
      <c r="M11" s="15"/>
    </row>
    <row r="12" spans="1:15" x14ac:dyDescent="0.2">
      <c r="A12" s="12">
        <v>5420</v>
      </c>
      <c r="B12" s="69" t="s">
        <v>139</v>
      </c>
      <c r="C12" s="140">
        <v>54.84</v>
      </c>
      <c r="D12" s="14">
        <v>0</v>
      </c>
      <c r="E12" s="14"/>
      <c r="F12" s="14"/>
      <c r="G12" s="14"/>
      <c r="H12" s="14"/>
      <c r="I12" s="14"/>
      <c r="J12" s="15"/>
      <c r="K12" s="14"/>
      <c r="L12" s="15"/>
      <c r="M12" s="15"/>
    </row>
    <row r="13" spans="1:15" x14ac:dyDescent="0.2">
      <c r="A13" s="12">
        <v>5710</v>
      </c>
      <c r="B13" s="69" t="s">
        <v>529</v>
      </c>
      <c r="C13" s="263">
        <v>106.41</v>
      </c>
      <c r="D13" s="39">
        <v>99.4</v>
      </c>
      <c r="E13" s="39">
        <v>98.45</v>
      </c>
      <c r="F13" s="39">
        <v>87.4</v>
      </c>
      <c r="G13" s="39"/>
      <c r="H13" s="39"/>
      <c r="I13" s="39">
        <v>0</v>
      </c>
      <c r="J13" s="40">
        <v>110</v>
      </c>
      <c r="K13" s="39">
        <v>134.1</v>
      </c>
      <c r="L13" s="40">
        <v>200</v>
      </c>
      <c r="M13" s="40"/>
    </row>
    <row r="14" spans="1:15" ht="13.5" thickBot="1" x14ac:dyDescent="0.25">
      <c r="A14" s="12">
        <v>5730</v>
      </c>
      <c r="B14" s="69" t="s">
        <v>142</v>
      </c>
      <c r="C14" s="141">
        <v>173</v>
      </c>
      <c r="D14" s="16">
        <v>176</v>
      </c>
      <c r="E14" s="16">
        <v>176</v>
      </c>
      <c r="F14" s="16">
        <v>176</v>
      </c>
      <c r="G14" s="16">
        <v>176</v>
      </c>
      <c r="H14" s="16">
        <v>180</v>
      </c>
      <c r="I14" s="16">
        <v>180</v>
      </c>
      <c r="J14" s="17">
        <v>180</v>
      </c>
      <c r="K14" s="16">
        <v>180</v>
      </c>
      <c r="L14" s="17">
        <v>180</v>
      </c>
      <c r="M14" s="17"/>
    </row>
    <row r="15" spans="1:15" x14ac:dyDescent="0.2">
      <c r="A15" s="12"/>
      <c r="B15" s="70" t="s">
        <v>442</v>
      </c>
      <c r="C15" s="142">
        <f>SUM(C8:C14)</f>
        <v>659.25</v>
      </c>
      <c r="D15" s="19">
        <f>SUM(D8:D14)</f>
        <v>315.39999999999998</v>
      </c>
      <c r="E15" s="19">
        <f>SUM(E8:E14)</f>
        <v>571.79999999999995</v>
      </c>
      <c r="F15" s="19">
        <f>SUM(F9:F14)</f>
        <v>615.22</v>
      </c>
      <c r="G15" s="19">
        <f>SUM(G9:G14)</f>
        <v>422</v>
      </c>
      <c r="H15" s="19">
        <f>SUM(H9:H14)</f>
        <v>468</v>
      </c>
      <c r="I15" s="19">
        <f>SUM(I8:I14)</f>
        <v>673.07999999999993</v>
      </c>
      <c r="J15" s="20">
        <f>SUM(J8:J14)</f>
        <v>680</v>
      </c>
      <c r="K15" s="19">
        <f>SUM(K9:K14)</f>
        <v>464.1</v>
      </c>
      <c r="L15" s="20">
        <f>SUM(L8:L14)</f>
        <v>1000</v>
      </c>
      <c r="M15" s="20">
        <f>SUM(M8:M14)</f>
        <v>0</v>
      </c>
    </row>
    <row r="16" spans="1:15" x14ac:dyDescent="0.2">
      <c r="A16" s="12"/>
      <c r="B16" s="117"/>
      <c r="C16" s="142"/>
      <c r="D16" s="19"/>
      <c r="E16" s="19"/>
      <c r="F16" s="19"/>
      <c r="G16" s="19"/>
      <c r="H16" s="19"/>
      <c r="I16" s="19"/>
      <c r="J16" s="20"/>
      <c r="K16" s="19"/>
      <c r="L16" s="20"/>
      <c r="M16" s="20"/>
    </row>
    <row r="17" spans="1:15" x14ac:dyDescent="0.2">
      <c r="A17" s="12"/>
      <c r="B17" s="69"/>
      <c r="C17" s="140"/>
      <c r="D17" s="14"/>
      <c r="E17" s="14"/>
      <c r="F17" s="14"/>
      <c r="G17" s="14"/>
      <c r="H17" s="14"/>
      <c r="I17" s="14"/>
      <c r="J17" s="15"/>
      <c r="K17" s="14"/>
      <c r="L17" s="15"/>
      <c r="M17" s="15"/>
    </row>
    <row r="18" spans="1:15" ht="13.5" thickBot="1" x14ac:dyDescent="0.25">
      <c r="A18" s="21"/>
      <c r="B18" s="825" t="s">
        <v>274</v>
      </c>
      <c r="C18" s="816">
        <f t="shared" ref="C18:L18" si="0">+C15</f>
        <v>659.25</v>
      </c>
      <c r="D18" s="23">
        <f t="shared" si="0"/>
        <v>315.39999999999998</v>
      </c>
      <c r="E18" s="23">
        <f t="shared" si="0"/>
        <v>571.79999999999995</v>
      </c>
      <c r="F18" s="23">
        <f>+F15</f>
        <v>615.22</v>
      </c>
      <c r="G18" s="23">
        <f>+G15</f>
        <v>422</v>
      </c>
      <c r="H18" s="23">
        <f>+H15</f>
        <v>468</v>
      </c>
      <c r="I18" s="23">
        <f t="shared" si="0"/>
        <v>673.07999999999993</v>
      </c>
      <c r="J18" s="24">
        <f t="shared" ref="J18" si="1">+J15</f>
        <v>680</v>
      </c>
      <c r="K18" s="23">
        <f t="shared" si="0"/>
        <v>464.1</v>
      </c>
      <c r="L18" s="24">
        <f t="shared" si="0"/>
        <v>1000</v>
      </c>
      <c r="M18" s="24">
        <f>+L18</f>
        <v>1000</v>
      </c>
    </row>
    <row r="19" spans="1:15" ht="13.5" thickTop="1" x14ac:dyDescent="0.2">
      <c r="A19" s="4"/>
      <c r="B19" s="4"/>
      <c r="C19" s="25"/>
      <c r="D19" s="25"/>
      <c r="E19" s="25"/>
      <c r="F19" s="25"/>
      <c r="G19" s="25"/>
      <c r="H19" s="25"/>
      <c r="I19" s="25"/>
      <c r="J19" s="25"/>
      <c r="K19" s="29"/>
      <c r="L19" s="25"/>
      <c r="M19" s="29"/>
      <c r="N19" s="2"/>
    </row>
    <row r="20" spans="1:15" x14ac:dyDescent="0.2">
      <c r="A20" s="72"/>
      <c r="B20" s="4"/>
      <c r="C20" s="25"/>
      <c r="D20" s="25"/>
      <c r="E20" s="25"/>
      <c r="F20" s="25"/>
      <c r="G20" s="25"/>
      <c r="H20" s="25"/>
      <c r="I20" s="25"/>
      <c r="J20" s="25"/>
      <c r="K20" s="29"/>
      <c r="L20" s="358">
        <f>+L18-J18</f>
        <v>320</v>
      </c>
      <c r="M20" s="851">
        <f>ROUND((+L20/J18),4)</f>
        <v>0.47060000000000002</v>
      </c>
      <c r="N20" s="29"/>
      <c r="O20" s="29"/>
    </row>
    <row r="21" spans="1:15" ht="13.5" thickBot="1" x14ac:dyDescent="0.25">
      <c r="A21" s="196"/>
      <c r="B21" s="4"/>
      <c r="C21" s="25"/>
      <c r="D21" s="25"/>
      <c r="E21" s="25"/>
      <c r="F21" s="25"/>
      <c r="G21" s="25"/>
      <c r="H21" s="849"/>
      <c r="I21" s="849"/>
      <c r="J21" s="208"/>
      <c r="K21" s="850"/>
      <c r="L21" s="144"/>
      <c r="M21" s="101"/>
      <c r="N21" s="101"/>
      <c r="O21" s="101"/>
    </row>
    <row r="22" spans="1:15" ht="13.5" thickTop="1" x14ac:dyDescent="0.2">
      <c r="A22" s="517"/>
      <c r="B22" s="518"/>
      <c r="C22" s="519" t="s">
        <v>122</v>
      </c>
      <c r="D22" s="520" t="s">
        <v>122</v>
      </c>
      <c r="E22" s="520" t="s">
        <v>122</v>
      </c>
      <c r="H22" s="521" t="s">
        <v>542</v>
      </c>
      <c r="I22" s="522" t="s">
        <v>9</v>
      </c>
      <c r="J22" s="523" t="s">
        <v>1073</v>
      </c>
      <c r="K22" s="522" t="s">
        <v>682</v>
      </c>
      <c r="L22" s="524"/>
      <c r="M22" s="523"/>
      <c r="N22" s="101"/>
      <c r="O22" s="101"/>
    </row>
    <row r="23" spans="1:15" ht="13.5" thickBot="1" x14ac:dyDescent="0.25">
      <c r="A23" s="525" t="s">
        <v>123</v>
      </c>
      <c r="B23" s="526"/>
      <c r="C23" s="527" t="s">
        <v>334</v>
      </c>
      <c r="D23" s="527" t="s">
        <v>718</v>
      </c>
      <c r="E23" s="528" t="s">
        <v>734</v>
      </c>
      <c r="H23" s="529" t="s">
        <v>899</v>
      </c>
      <c r="I23" s="529" t="s">
        <v>900</v>
      </c>
      <c r="J23" s="528" t="s">
        <v>1075</v>
      </c>
      <c r="K23" s="530" t="s">
        <v>1075</v>
      </c>
      <c r="L23" s="531" t="s">
        <v>1074</v>
      </c>
      <c r="M23" s="529"/>
      <c r="N23" s="96"/>
      <c r="O23" s="96"/>
    </row>
    <row r="24" spans="1:15" ht="13.5" thickTop="1" x14ac:dyDescent="0.2">
      <c r="A24" s="551">
        <v>5305</v>
      </c>
      <c r="B24" s="573" t="s">
        <v>143</v>
      </c>
      <c r="C24" s="536">
        <v>87868.9</v>
      </c>
      <c r="D24" s="536">
        <v>95093</v>
      </c>
      <c r="E24" s="536">
        <v>98445</v>
      </c>
      <c r="H24" s="537">
        <f>+J9</f>
        <v>280</v>
      </c>
      <c r="I24" s="568">
        <f>+L9</f>
        <v>420</v>
      </c>
      <c r="J24" s="539">
        <f t="shared" ref="J24:J29" si="2">+I24-H24</f>
        <v>140</v>
      </c>
      <c r="K24" s="545">
        <f>IF(H24+I24&lt;&gt;0,IF(H24&lt;&gt;0,IF(J24&lt;&gt;0,ROUND((+J24/H24),4),""),1),"")</f>
        <v>0.5</v>
      </c>
      <c r="L24" s="538" t="s">
        <v>1622</v>
      </c>
      <c r="M24" s="539"/>
      <c r="N24" s="96"/>
      <c r="O24" s="96"/>
    </row>
    <row r="25" spans="1:15" x14ac:dyDescent="0.2">
      <c r="A25" s="551">
        <v>5314</v>
      </c>
      <c r="B25" s="573" t="s">
        <v>134</v>
      </c>
      <c r="C25" s="536">
        <v>32158</v>
      </c>
      <c r="D25" s="536">
        <v>35092.639999999999</v>
      </c>
      <c r="E25" s="536">
        <v>38122.11</v>
      </c>
      <c r="H25" s="537">
        <f t="shared" ref="H25:H29" si="3">+J10</f>
        <v>110</v>
      </c>
      <c r="I25" s="568">
        <f t="shared" ref="I25:I29" si="4">+L10</f>
        <v>200</v>
      </c>
      <c r="J25" s="539">
        <f t="shared" si="2"/>
        <v>90</v>
      </c>
      <c r="K25" s="545">
        <f>IF(H25+I25&lt;&gt;0,IF(H25&lt;&gt;0,IF(J25&lt;&gt;0,ROUND((+J25/H25),4),""),1),"")</f>
        <v>0.81820000000000004</v>
      </c>
      <c r="L25" s="538" t="s">
        <v>1623</v>
      </c>
      <c r="M25" s="539"/>
      <c r="N25" s="27"/>
      <c r="O25" s="27"/>
    </row>
    <row r="26" spans="1:15" x14ac:dyDescent="0.2">
      <c r="A26" s="551">
        <v>5344</v>
      </c>
      <c r="B26" s="573" t="s">
        <v>137</v>
      </c>
      <c r="C26" s="544">
        <v>1000</v>
      </c>
      <c r="D26" s="544">
        <v>1500</v>
      </c>
      <c r="E26" s="544">
        <v>1500</v>
      </c>
      <c r="H26" s="537">
        <f t="shared" si="3"/>
        <v>0</v>
      </c>
      <c r="I26" s="568">
        <f t="shared" si="4"/>
        <v>0</v>
      </c>
      <c r="J26" s="539">
        <f t="shared" si="2"/>
        <v>0</v>
      </c>
      <c r="K26" s="545" t="str">
        <f t="shared" ref="K26:K29" si="5">IF(H26+I26&lt;&gt;0,IF(H26&lt;&gt;0,IF(J26&lt;&gt;0,ROUND((+J26/H26),4),""),1),"")</f>
        <v/>
      </c>
      <c r="L26" s="538" t="s">
        <v>1624</v>
      </c>
      <c r="M26" s="539"/>
      <c r="N26" s="27"/>
      <c r="O26" s="27"/>
    </row>
    <row r="27" spans="1:15" x14ac:dyDescent="0.2">
      <c r="A27" s="551">
        <v>5420</v>
      </c>
      <c r="B27" s="573" t="s">
        <v>139</v>
      </c>
      <c r="C27" s="550">
        <v>1000</v>
      </c>
      <c r="D27" s="550">
        <v>1500</v>
      </c>
      <c r="E27" s="550">
        <v>1500</v>
      </c>
      <c r="H27" s="537">
        <f t="shared" si="3"/>
        <v>0</v>
      </c>
      <c r="I27" s="568">
        <f t="shared" si="4"/>
        <v>0</v>
      </c>
      <c r="J27" s="539">
        <f t="shared" si="2"/>
        <v>0</v>
      </c>
      <c r="K27" s="545" t="str">
        <f t="shared" si="5"/>
        <v/>
      </c>
      <c r="L27" s="538"/>
      <c r="M27" s="539"/>
      <c r="N27" s="27"/>
      <c r="O27" s="27"/>
    </row>
    <row r="28" spans="1:15" x14ac:dyDescent="0.2">
      <c r="A28" s="551">
        <v>5710</v>
      </c>
      <c r="B28" s="573" t="s">
        <v>529</v>
      </c>
      <c r="C28" s="544">
        <v>1000</v>
      </c>
      <c r="D28" s="544">
        <v>1500</v>
      </c>
      <c r="E28" s="544">
        <v>1500</v>
      </c>
      <c r="H28" s="537">
        <f t="shared" si="3"/>
        <v>110</v>
      </c>
      <c r="I28" s="568">
        <f t="shared" si="4"/>
        <v>200</v>
      </c>
      <c r="J28" s="539">
        <f t="shared" si="2"/>
        <v>90</v>
      </c>
      <c r="K28" s="545">
        <f t="shared" si="5"/>
        <v>0.81820000000000004</v>
      </c>
      <c r="L28" s="538" t="s">
        <v>1623</v>
      </c>
      <c r="M28" s="539"/>
      <c r="N28" s="27"/>
      <c r="O28" s="27"/>
    </row>
    <row r="29" spans="1:15" x14ac:dyDescent="0.2">
      <c r="A29" s="551">
        <v>5730</v>
      </c>
      <c r="B29" s="573" t="s">
        <v>142</v>
      </c>
      <c r="C29" s="544">
        <v>1050</v>
      </c>
      <c r="D29" s="544">
        <v>1100</v>
      </c>
      <c r="E29" s="544">
        <v>1100</v>
      </c>
      <c r="H29" s="537">
        <f t="shared" si="3"/>
        <v>180</v>
      </c>
      <c r="I29" s="568">
        <f t="shared" si="4"/>
        <v>180</v>
      </c>
      <c r="J29" s="539">
        <f t="shared" si="2"/>
        <v>0</v>
      </c>
      <c r="K29" s="545" t="str">
        <f t="shared" si="5"/>
        <v/>
      </c>
      <c r="L29" s="538" t="s">
        <v>1624</v>
      </c>
      <c r="M29" s="539"/>
      <c r="N29" s="27"/>
      <c r="O29" s="27"/>
    </row>
    <row r="30" spans="1:15" x14ac:dyDescent="0.2">
      <c r="A30" s="4"/>
      <c r="B30" s="4"/>
      <c r="C30" s="25"/>
      <c r="D30" s="25"/>
      <c r="E30" s="25"/>
      <c r="F30" s="25"/>
      <c r="G30" s="25"/>
      <c r="H30" s="25"/>
      <c r="I30" s="25"/>
      <c r="J30" s="25"/>
      <c r="K30" s="29"/>
      <c r="L30" s="25"/>
      <c r="M30" s="29"/>
      <c r="N30" s="29"/>
      <c r="O30" s="29"/>
    </row>
    <row r="31" spans="1:15" x14ac:dyDescent="0.2">
      <c r="A31" s="4"/>
      <c r="B31" s="4"/>
      <c r="C31" s="25"/>
      <c r="D31" s="25"/>
      <c r="E31" s="25"/>
      <c r="F31" s="25"/>
      <c r="G31" s="25"/>
      <c r="H31" s="25"/>
      <c r="I31" s="25"/>
      <c r="J31" s="25"/>
      <c r="K31" s="29"/>
      <c r="L31" s="25"/>
      <c r="M31" s="29"/>
      <c r="N31" s="29"/>
      <c r="O31" s="29"/>
    </row>
    <row r="32" spans="1:15" x14ac:dyDescent="0.2">
      <c r="A32" s="4"/>
      <c r="B32" s="4"/>
      <c r="C32" s="25"/>
      <c r="D32" s="25"/>
      <c r="E32" s="25"/>
      <c r="F32" s="25"/>
      <c r="G32" s="25"/>
      <c r="H32" s="25"/>
      <c r="I32" s="25"/>
      <c r="J32" s="25"/>
      <c r="K32" s="29"/>
      <c r="L32" s="25"/>
      <c r="M32" s="29"/>
      <c r="N32" s="29"/>
      <c r="O32" s="29"/>
    </row>
    <row r="33" spans="1:15" x14ac:dyDescent="0.2">
      <c r="A33" s="4"/>
      <c r="B33" s="4"/>
      <c r="C33" s="25"/>
      <c r="D33" s="25"/>
      <c r="E33" s="25"/>
      <c r="F33" s="25"/>
      <c r="G33" s="25"/>
      <c r="H33" s="25"/>
      <c r="I33" s="25"/>
      <c r="J33" s="25"/>
      <c r="K33" s="29"/>
      <c r="L33" s="25"/>
      <c r="M33" s="29"/>
      <c r="N33" s="29"/>
      <c r="O33" s="29"/>
    </row>
    <row r="34" spans="1:15" x14ac:dyDescent="0.2">
      <c r="A34" s="4"/>
      <c r="B34" s="4"/>
      <c r="C34" s="25"/>
      <c r="D34" s="25"/>
      <c r="E34" s="25"/>
      <c r="F34" s="25"/>
      <c r="G34" s="25"/>
      <c r="H34" s="25"/>
      <c r="I34" s="25"/>
      <c r="J34" s="25"/>
      <c r="K34" s="29"/>
      <c r="L34" s="25"/>
      <c r="M34" s="29"/>
      <c r="N34" s="29"/>
      <c r="O34" s="29"/>
    </row>
    <row r="35" spans="1:15" x14ac:dyDescent="0.2">
      <c r="A35" s="4"/>
      <c r="B35" s="4"/>
      <c r="C35" s="25"/>
      <c r="D35" s="25"/>
      <c r="E35" s="25"/>
      <c r="F35" s="25"/>
      <c r="G35" s="25"/>
      <c r="H35" s="25"/>
      <c r="I35" s="25"/>
      <c r="J35" s="25"/>
      <c r="K35" s="29"/>
      <c r="L35" s="25"/>
      <c r="M35" s="29"/>
      <c r="N35" s="29"/>
      <c r="O35" s="29"/>
    </row>
    <row r="36" spans="1:15" x14ac:dyDescent="0.2">
      <c r="A36" s="4"/>
      <c r="B36" s="4"/>
      <c r="C36" s="25"/>
      <c r="D36" s="25"/>
      <c r="E36" s="25"/>
      <c r="F36" s="25"/>
      <c r="G36" s="25"/>
      <c r="H36" s="25"/>
      <c r="I36" s="25"/>
      <c r="J36" s="25"/>
      <c r="K36" s="29"/>
      <c r="L36" s="25"/>
      <c r="M36" s="29"/>
      <c r="N36" s="29"/>
      <c r="O36" s="29"/>
    </row>
    <row r="37" spans="1:15" x14ac:dyDescent="0.2">
      <c r="A37" s="4"/>
      <c r="B37" s="4"/>
      <c r="C37" s="25"/>
      <c r="D37" s="25"/>
      <c r="E37" s="25"/>
      <c r="F37" s="25"/>
      <c r="G37" s="25"/>
      <c r="H37" s="25"/>
      <c r="I37" s="25"/>
      <c r="J37" s="25"/>
      <c r="K37" s="29"/>
      <c r="L37" s="25"/>
      <c r="M37" s="29"/>
      <c r="N37" s="29"/>
      <c r="O37" s="29"/>
    </row>
    <row r="38" spans="1:15" x14ac:dyDescent="0.2">
      <c r="A38" s="4"/>
      <c r="B38" s="4"/>
      <c r="C38" s="25"/>
      <c r="D38" s="25"/>
      <c r="E38" s="25"/>
      <c r="F38" s="25"/>
      <c r="G38" s="25"/>
      <c r="H38" s="25"/>
      <c r="I38" s="25"/>
      <c r="J38" s="25"/>
      <c r="K38" s="29"/>
      <c r="L38" s="25"/>
      <c r="M38" s="29"/>
      <c r="N38" s="29"/>
      <c r="O38" s="29"/>
    </row>
    <row r="39" spans="1:15" x14ac:dyDescent="0.2">
      <c r="A39" s="4"/>
      <c r="B39" s="4"/>
      <c r="C39" s="25"/>
      <c r="D39" s="25"/>
      <c r="E39" s="25"/>
      <c r="F39" s="25"/>
      <c r="G39" s="25"/>
      <c r="H39" s="25"/>
      <c r="I39" s="25"/>
      <c r="J39" s="25"/>
      <c r="K39" s="29"/>
      <c r="L39" s="25"/>
      <c r="M39" s="29"/>
      <c r="N39" s="29"/>
      <c r="O39" s="29"/>
    </row>
    <row r="40" spans="1:15" x14ac:dyDescent="0.2">
      <c r="A40" s="4"/>
      <c r="B40" s="4"/>
      <c r="C40" s="25"/>
      <c r="D40" s="25"/>
      <c r="E40" s="25"/>
      <c r="F40" s="25"/>
      <c r="G40" s="25"/>
      <c r="H40" s="25"/>
      <c r="I40" s="25"/>
      <c r="J40" s="25"/>
      <c r="K40" s="29"/>
      <c r="L40" s="25"/>
      <c r="M40" s="29"/>
      <c r="N40" s="29"/>
      <c r="O40" s="29"/>
    </row>
    <row r="41" spans="1:15" x14ac:dyDescent="0.2">
      <c r="A41" s="4"/>
      <c r="B41" s="4"/>
      <c r="C41" s="25"/>
      <c r="D41" s="25"/>
      <c r="E41" s="25"/>
      <c r="F41" s="25"/>
      <c r="G41" s="25"/>
      <c r="H41" s="25"/>
      <c r="I41" s="25"/>
      <c r="J41" s="25"/>
      <c r="K41" s="29"/>
      <c r="L41" s="25"/>
      <c r="M41" s="29"/>
      <c r="N41" s="29"/>
      <c r="O41" s="29"/>
    </row>
    <row r="42" spans="1:15" x14ac:dyDescent="0.2">
      <c r="A42" s="4"/>
      <c r="B42" s="4"/>
      <c r="C42" s="25"/>
      <c r="D42" s="25"/>
      <c r="E42" s="25"/>
      <c r="F42" s="25"/>
      <c r="G42" s="25"/>
      <c r="H42" s="25"/>
      <c r="I42" s="25"/>
      <c r="J42" s="25"/>
      <c r="K42" s="29"/>
      <c r="L42" s="25"/>
      <c r="M42" s="29"/>
      <c r="N42" s="29"/>
      <c r="O42" s="29"/>
    </row>
    <row r="43" spans="1:15" x14ac:dyDescent="0.2">
      <c r="A43" s="4"/>
      <c r="B43" s="4"/>
      <c r="C43" s="25"/>
      <c r="D43" s="25"/>
      <c r="E43" s="25"/>
      <c r="F43" s="25"/>
      <c r="G43" s="25"/>
      <c r="H43" s="25"/>
      <c r="I43" s="25"/>
      <c r="J43" s="25"/>
      <c r="K43" s="29"/>
      <c r="L43" s="25"/>
      <c r="M43" s="29"/>
      <c r="N43" s="29"/>
      <c r="O43" s="29"/>
    </row>
    <row r="44" spans="1:15" x14ac:dyDescent="0.2">
      <c r="A44" s="4"/>
      <c r="B44" s="4"/>
      <c r="C44" s="25"/>
      <c r="D44" s="25"/>
      <c r="E44" s="25"/>
      <c r="F44" s="25"/>
      <c r="G44" s="25"/>
      <c r="H44" s="25"/>
      <c r="I44" s="25"/>
      <c r="J44" s="25"/>
      <c r="K44" s="4"/>
      <c r="L44" s="25"/>
      <c r="M44" s="4"/>
      <c r="N44" s="4"/>
      <c r="O44" s="4"/>
    </row>
    <row r="45" spans="1:15" x14ac:dyDescent="0.2">
      <c r="A45" s="4"/>
      <c r="B45" s="4"/>
      <c r="C45" s="25"/>
      <c r="D45" s="25"/>
      <c r="E45" s="25"/>
      <c r="F45" s="25"/>
      <c r="G45" s="25"/>
      <c r="H45" s="25"/>
      <c r="I45" s="25"/>
      <c r="J45" s="25"/>
      <c r="K45" s="4"/>
      <c r="L45" s="25"/>
      <c r="M45" s="4"/>
      <c r="N45" s="4"/>
      <c r="O45" s="4"/>
    </row>
    <row r="46" spans="1:15" x14ac:dyDescent="0.2">
      <c r="A46" s="4"/>
      <c r="B46" s="4"/>
      <c r="C46" s="25"/>
      <c r="D46" s="25"/>
      <c r="E46" s="25"/>
      <c r="F46" s="25"/>
      <c r="G46" s="25"/>
      <c r="H46" s="25"/>
      <c r="I46" s="25"/>
      <c r="J46" s="25"/>
      <c r="K46" s="4"/>
      <c r="L46" s="25"/>
      <c r="M46" s="4"/>
      <c r="N46" s="4"/>
      <c r="O46" s="4"/>
    </row>
    <row r="47" spans="1:15" x14ac:dyDescent="0.2">
      <c r="A47" s="4"/>
      <c r="B47" s="4"/>
      <c r="C47" s="25"/>
      <c r="D47" s="25"/>
      <c r="E47" s="25"/>
      <c r="F47" s="25"/>
      <c r="G47" s="25"/>
      <c r="H47" s="25"/>
      <c r="I47" s="25"/>
      <c r="J47" s="25"/>
      <c r="K47" s="4"/>
      <c r="L47" s="25"/>
      <c r="M47" s="4"/>
      <c r="N47" s="4"/>
      <c r="O47" s="4"/>
    </row>
    <row r="48" spans="1:15" x14ac:dyDescent="0.2">
      <c r="A48" s="4"/>
      <c r="B48" s="4"/>
      <c r="C48" s="25"/>
      <c r="D48" s="25"/>
      <c r="E48" s="25"/>
      <c r="F48" s="25"/>
      <c r="G48" s="25"/>
      <c r="H48" s="25"/>
      <c r="I48" s="25"/>
      <c r="J48" s="25"/>
      <c r="K48" s="4"/>
      <c r="L48" s="25"/>
      <c r="M48" s="4"/>
      <c r="N48" s="4"/>
      <c r="O48" s="4"/>
    </row>
    <row r="49" spans="1:15" x14ac:dyDescent="0.2">
      <c r="A49" s="4"/>
      <c r="B49" s="4"/>
      <c r="C49" s="25"/>
      <c r="D49" s="25"/>
      <c r="E49" s="25"/>
      <c r="F49" s="25"/>
      <c r="G49" s="25"/>
      <c r="H49" s="25"/>
      <c r="I49" s="25"/>
      <c r="J49" s="25"/>
      <c r="K49" s="4"/>
      <c r="L49" s="25"/>
      <c r="M49" s="4"/>
      <c r="N49" s="4"/>
      <c r="O49" s="4"/>
    </row>
    <row r="50" spans="1:15" x14ac:dyDescent="0.2">
      <c r="A50" s="4"/>
      <c r="B50" s="4"/>
      <c r="C50" s="25"/>
      <c r="D50" s="25"/>
      <c r="E50" s="25"/>
      <c r="F50" s="25"/>
      <c r="G50" s="25"/>
      <c r="H50" s="25"/>
      <c r="I50" s="25"/>
      <c r="J50" s="25"/>
      <c r="K50" s="4"/>
      <c r="L50" s="25"/>
      <c r="M50" s="4"/>
      <c r="N50" s="4"/>
      <c r="O50" s="4"/>
    </row>
    <row r="51" spans="1:15" x14ac:dyDescent="0.2">
      <c r="A51" s="4"/>
      <c r="B51" s="4"/>
      <c r="C51" s="25"/>
      <c r="D51" s="25"/>
      <c r="E51" s="25"/>
      <c r="F51" s="25"/>
      <c r="G51" s="25"/>
      <c r="H51" s="25"/>
      <c r="I51" s="25"/>
      <c r="J51" s="25"/>
      <c r="K51" s="4"/>
      <c r="L51" s="25"/>
      <c r="M51" s="4"/>
      <c r="N51" s="4"/>
      <c r="O51" s="4"/>
    </row>
    <row r="52" spans="1:15" x14ac:dyDescent="0.2">
      <c r="A52" s="4"/>
      <c r="B52" s="4"/>
      <c r="C52" s="25"/>
      <c r="D52" s="25"/>
      <c r="E52" s="25"/>
      <c r="F52" s="25"/>
      <c r="G52" s="25"/>
      <c r="H52" s="25"/>
      <c r="I52" s="25"/>
      <c r="J52" s="25"/>
      <c r="K52" s="4"/>
      <c r="L52" s="25"/>
      <c r="M52" s="4"/>
      <c r="N52" s="4"/>
      <c r="O52" s="4"/>
    </row>
    <row r="53" spans="1:15" x14ac:dyDescent="0.2">
      <c r="A53" s="4"/>
      <c r="B53" s="4"/>
      <c r="C53" s="25"/>
      <c r="D53" s="25"/>
      <c r="E53" s="25"/>
      <c r="F53" s="25"/>
      <c r="G53" s="25"/>
      <c r="H53" s="25"/>
      <c r="I53" s="25"/>
      <c r="J53" s="25"/>
      <c r="K53" s="4"/>
      <c r="L53" s="25"/>
      <c r="M53" s="4"/>
      <c r="N53" s="4"/>
      <c r="O53" s="4"/>
    </row>
    <row r="54" spans="1:15" x14ac:dyDescent="0.2">
      <c r="A54" s="4"/>
      <c r="B54" s="4"/>
      <c r="C54" s="25"/>
      <c r="D54" s="25"/>
      <c r="E54" s="25"/>
      <c r="F54" s="25"/>
      <c r="G54" s="25"/>
      <c r="H54" s="25"/>
      <c r="I54" s="25"/>
      <c r="J54" s="25"/>
      <c r="K54" s="4"/>
      <c r="L54" s="25"/>
      <c r="M54" s="4"/>
      <c r="N54" s="4"/>
      <c r="O54" s="4"/>
    </row>
    <row r="55" spans="1:15" x14ac:dyDescent="0.2">
      <c r="A55" s="4"/>
      <c r="B55" s="4"/>
      <c r="C55" s="25"/>
      <c r="D55" s="25"/>
      <c r="E55" s="25"/>
      <c r="F55" s="25"/>
      <c r="G55" s="25"/>
      <c r="H55" s="25"/>
      <c r="I55" s="25"/>
      <c r="J55" s="25"/>
      <c r="K55" s="4"/>
      <c r="L55" s="25"/>
      <c r="M55" s="4"/>
      <c r="N55" s="4"/>
      <c r="O55" s="4"/>
    </row>
    <row r="56" spans="1:15" x14ac:dyDescent="0.2">
      <c r="A56" s="4"/>
      <c r="B56" s="4"/>
      <c r="C56" s="25"/>
      <c r="D56" s="25"/>
      <c r="E56" s="25"/>
      <c r="F56" s="25"/>
      <c r="G56" s="25"/>
      <c r="H56" s="25"/>
      <c r="I56" s="25"/>
      <c r="J56" s="25"/>
      <c r="K56" s="4"/>
      <c r="L56" s="25"/>
      <c r="M56" s="4"/>
      <c r="N56" s="4"/>
      <c r="O56" s="4"/>
    </row>
    <row r="57" spans="1:15" x14ac:dyDescent="0.2">
      <c r="A57" s="4"/>
      <c r="B57" s="4"/>
      <c r="C57" s="25"/>
      <c r="D57" s="25"/>
      <c r="E57" s="25"/>
      <c r="F57" s="25"/>
      <c r="G57" s="25"/>
      <c r="H57" s="25"/>
      <c r="I57" s="25"/>
      <c r="J57" s="25"/>
      <c r="K57" s="4"/>
      <c r="L57" s="25"/>
      <c r="M57" s="4"/>
      <c r="N57" s="4"/>
      <c r="O57" s="4"/>
    </row>
    <row r="58" spans="1:15" x14ac:dyDescent="0.2">
      <c r="A58" s="4"/>
      <c r="B58" s="4"/>
      <c r="C58" s="25"/>
      <c r="D58" s="25"/>
      <c r="E58" s="25"/>
      <c r="F58" s="25"/>
      <c r="G58" s="25"/>
      <c r="H58" s="25"/>
      <c r="I58" s="25"/>
      <c r="J58" s="25"/>
      <c r="K58" s="4"/>
      <c r="L58" s="25"/>
      <c r="M58" s="4"/>
      <c r="N58" s="4"/>
      <c r="O58" s="4"/>
    </row>
    <row r="59" spans="1:15" x14ac:dyDescent="0.2">
      <c r="A59" s="4"/>
      <c r="B59" s="4"/>
      <c r="C59" s="25"/>
      <c r="D59" s="25"/>
      <c r="E59" s="25"/>
      <c r="F59" s="25"/>
      <c r="G59" s="25"/>
      <c r="H59" s="25"/>
      <c r="I59" s="25"/>
      <c r="J59" s="25"/>
      <c r="K59" s="4"/>
      <c r="L59" s="25"/>
      <c r="M59" s="4"/>
      <c r="N59" s="4"/>
      <c r="O59" s="4"/>
    </row>
    <row r="60" spans="1:15" x14ac:dyDescent="0.2">
      <c r="A60" s="4"/>
      <c r="B60" s="4"/>
      <c r="C60" s="25"/>
      <c r="D60" s="25"/>
      <c r="E60" s="25"/>
      <c r="F60" s="25"/>
      <c r="G60" s="25"/>
      <c r="H60" s="25"/>
      <c r="I60" s="25"/>
      <c r="J60" s="25"/>
      <c r="K60" s="4"/>
      <c r="L60" s="25"/>
      <c r="M60" s="4"/>
      <c r="N60" s="4"/>
      <c r="O60" s="4"/>
    </row>
    <row r="61" spans="1:15" x14ac:dyDescent="0.2">
      <c r="A61" s="4"/>
      <c r="B61" s="4"/>
      <c r="C61" s="25"/>
      <c r="D61" s="25"/>
      <c r="E61" s="25"/>
      <c r="F61" s="25"/>
      <c r="G61" s="25"/>
      <c r="H61" s="25"/>
      <c r="I61" s="25"/>
      <c r="J61" s="25"/>
      <c r="K61" s="4"/>
      <c r="L61" s="25"/>
      <c r="M61" s="4"/>
      <c r="N61" s="4"/>
      <c r="O61" s="4"/>
    </row>
    <row r="62" spans="1:15" x14ac:dyDescent="0.2">
      <c r="A62" s="4"/>
      <c r="B62" s="4"/>
      <c r="C62" s="25"/>
      <c r="D62" s="25"/>
      <c r="E62" s="25"/>
      <c r="F62" s="25"/>
      <c r="G62" s="25"/>
      <c r="H62" s="25"/>
      <c r="I62" s="25"/>
      <c r="J62" s="25"/>
      <c r="K62" s="4"/>
      <c r="L62" s="25"/>
      <c r="M62" s="4"/>
      <c r="N62" s="4"/>
      <c r="O62" s="4"/>
    </row>
    <row r="63" spans="1:15" x14ac:dyDescent="0.2">
      <c r="A63" s="4"/>
      <c r="B63" s="4"/>
      <c r="C63" s="25"/>
      <c r="D63" s="25"/>
      <c r="E63" s="25"/>
      <c r="F63" s="25"/>
      <c r="G63" s="25"/>
      <c r="H63" s="25"/>
      <c r="I63" s="25"/>
      <c r="J63" s="25"/>
      <c r="K63" s="4"/>
      <c r="L63" s="25"/>
      <c r="M63" s="4"/>
      <c r="N63" s="4"/>
      <c r="O63" s="4"/>
    </row>
    <row r="64" spans="1:15" x14ac:dyDescent="0.2">
      <c r="A64" s="4"/>
      <c r="B64" s="4"/>
      <c r="C64" s="25"/>
      <c r="D64" s="25"/>
      <c r="E64" s="25"/>
      <c r="F64" s="25"/>
      <c r="G64" s="25"/>
      <c r="H64" s="25"/>
      <c r="I64" s="25"/>
      <c r="J64" s="25"/>
      <c r="K64" s="4"/>
      <c r="L64" s="25"/>
      <c r="M64" s="4"/>
      <c r="N64" s="4"/>
      <c r="O64" s="4"/>
    </row>
    <row r="65" spans="1:15" x14ac:dyDescent="0.2">
      <c r="A65" s="4"/>
      <c r="B65" s="4"/>
      <c r="C65" s="25"/>
      <c r="D65" s="25"/>
      <c r="E65" s="25"/>
      <c r="F65" s="25"/>
      <c r="G65" s="25"/>
      <c r="H65" s="25"/>
      <c r="I65" s="25"/>
      <c r="J65" s="25"/>
      <c r="K65" s="4"/>
      <c r="L65" s="25"/>
      <c r="M65" s="4"/>
      <c r="N65" s="4"/>
      <c r="O65" s="4"/>
    </row>
    <row r="66" spans="1:15" x14ac:dyDescent="0.2">
      <c r="A66" s="4"/>
      <c r="B66" s="4"/>
      <c r="C66" s="25"/>
      <c r="D66" s="25"/>
      <c r="E66" s="25"/>
      <c r="F66" s="25"/>
      <c r="G66" s="25"/>
      <c r="H66" s="25"/>
      <c r="I66" s="25"/>
      <c r="J66" s="25"/>
      <c r="K66" s="4"/>
      <c r="L66" s="25"/>
      <c r="M66" s="4"/>
      <c r="N66" s="4"/>
      <c r="O66" s="4"/>
    </row>
    <row r="67" spans="1:15" x14ac:dyDescent="0.2">
      <c r="A67" s="4"/>
      <c r="B67" s="4"/>
      <c r="C67" s="25"/>
      <c r="D67" s="25"/>
      <c r="E67" s="25"/>
      <c r="F67" s="25"/>
      <c r="G67" s="25"/>
      <c r="H67" s="25"/>
      <c r="I67" s="25"/>
      <c r="J67" s="25"/>
      <c r="K67" s="4"/>
      <c r="L67" s="25"/>
      <c r="M67" s="4"/>
      <c r="N67" s="4"/>
      <c r="O67" s="4"/>
    </row>
    <row r="68" spans="1:15" x14ac:dyDescent="0.2">
      <c r="A68" s="4"/>
      <c r="B68" s="4"/>
      <c r="C68" s="25"/>
      <c r="D68" s="25"/>
      <c r="E68" s="25"/>
      <c r="F68" s="25"/>
      <c r="G68" s="25"/>
      <c r="H68" s="25"/>
      <c r="I68" s="25"/>
      <c r="J68" s="25"/>
      <c r="K68" s="4"/>
      <c r="L68" s="25"/>
      <c r="M68" s="4"/>
      <c r="N68" s="4"/>
      <c r="O68" s="4"/>
    </row>
    <row r="69" spans="1:15" x14ac:dyDescent="0.2">
      <c r="A69" s="4"/>
      <c r="B69" s="4"/>
      <c r="C69" s="25"/>
      <c r="D69" s="25"/>
      <c r="E69" s="25"/>
      <c r="F69" s="25"/>
      <c r="G69" s="25"/>
      <c r="H69" s="25"/>
      <c r="I69" s="25"/>
      <c r="J69" s="25"/>
      <c r="K69" s="4"/>
      <c r="L69" s="25"/>
      <c r="M69" s="4"/>
      <c r="N69" s="4"/>
      <c r="O69" s="4"/>
    </row>
    <row r="70" spans="1:15" x14ac:dyDescent="0.2">
      <c r="A70" s="4"/>
      <c r="B70" s="4"/>
      <c r="C70" s="25"/>
      <c r="D70" s="25"/>
      <c r="E70" s="25"/>
      <c r="F70" s="25"/>
      <c r="G70" s="25"/>
      <c r="H70" s="25"/>
      <c r="I70" s="25"/>
      <c r="J70" s="25"/>
      <c r="K70" s="4"/>
      <c r="L70" s="25"/>
      <c r="M70" s="4"/>
      <c r="N70" s="4"/>
      <c r="O70" s="4"/>
    </row>
    <row r="71" spans="1:15" x14ac:dyDescent="0.2">
      <c r="A71" s="4"/>
      <c r="B71" s="4"/>
      <c r="C71" s="25"/>
      <c r="D71" s="25"/>
      <c r="E71" s="25"/>
      <c r="F71" s="25"/>
      <c r="G71" s="25"/>
      <c r="H71" s="25"/>
      <c r="I71" s="25"/>
      <c r="J71" s="25"/>
      <c r="K71" s="4"/>
      <c r="L71" s="25"/>
      <c r="M71" s="4"/>
      <c r="N71" s="4"/>
      <c r="O71" s="4"/>
    </row>
    <row r="72" spans="1:15" x14ac:dyDescent="0.2">
      <c r="A72" s="4"/>
      <c r="B72" s="4"/>
      <c r="C72" s="25"/>
      <c r="D72" s="25"/>
      <c r="E72" s="25"/>
      <c r="F72" s="25"/>
      <c r="G72" s="25"/>
      <c r="H72" s="25"/>
      <c r="I72" s="25"/>
      <c r="J72" s="25"/>
      <c r="K72" s="4"/>
      <c r="L72" s="25"/>
      <c r="M72" s="4"/>
      <c r="N72" s="4"/>
      <c r="O72" s="4"/>
    </row>
    <row r="73" spans="1:15" x14ac:dyDescent="0.2">
      <c r="A73" s="4"/>
      <c r="B73" s="4"/>
      <c r="C73" s="25"/>
      <c r="D73" s="25"/>
      <c r="E73" s="25"/>
      <c r="F73" s="25"/>
      <c r="G73" s="25"/>
      <c r="H73" s="25"/>
      <c r="I73" s="25"/>
      <c r="J73" s="25"/>
      <c r="K73" s="4"/>
      <c r="L73" s="25"/>
      <c r="M73" s="4"/>
      <c r="N73" s="4"/>
      <c r="O73" s="4"/>
    </row>
    <row r="74" spans="1:15" x14ac:dyDescent="0.2">
      <c r="A74" s="4"/>
      <c r="B74" s="4"/>
      <c r="C74" s="25"/>
      <c r="D74" s="25"/>
      <c r="E74" s="25"/>
      <c r="F74" s="25"/>
      <c r="G74" s="25"/>
      <c r="H74" s="25"/>
      <c r="I74" s="25"/>
      <c r="J74" s="25"/>
      <c r="K74" s="4"/>
      <c r="L74" s="25"/>
      <c r="M74" s="4"/>
      <c r="N74" s="4"/>
      <c r="O74" s="4"/>
    </row>
    <row r="75" spans="1:15" x14ac:dyDescent="0.2">
      <c r="A75" s="4"/>
      <c r="B75" s="4"/>
      <c r="C75" s="25"/>
      <c r="D75" s="25"/>
      <c r="E75" s="25"/>
      <c r="F75" s="25"/>
      <c r="G75" s="25"/>
      <c r="H75" s="25"/>
      <c r="I75" s="25"/>
      <c r="J75" s="25"/>
      <c r="K75" s="4"/>
      <c r="L75" s="25"/>
      <c r="M75" s="4"/>
      <c r="N75" s="4"/>
      <c r="O75" s="4"/>
    </row>
    <row r="76" spans="1:15" x14ac:dyDescent="0.2">
      <c r="A76" s="4"/>
      <c r="B76" s="4"/>
      <c r="C76" s="25"/>
      <c r="D76" s="25"/>
      <c r="E76" s="25"/>
      <c r="F76" s="25"/>
      <c r="G76" s="25"/>
      <c r="H76" s="25"/>
      <c r="I76" s="25"/>
      <c r="J76" s="25"/>
      <c r="K76" s="4"/>
      <c r="L76" s="25"/>
      <c r="M76" s="4"/>
      <c r="N76" s="4"/>
      <c r="O76" s="4"/>
    </row>
    <row r="77" spans="1:15" x14ac:dyDescent="0.2">
      <c r="A77" s="4"/>
      <c r="B77" s="4"/>
      <c r="C77" s="25"/>
      <c r="D77" s="25"/>
      <c r="E77" s="25"/>
      <c r="F77" s="25"/>
      <c r="G77" s="25"/>
      <c r="H77" s="25"/>
      <c r="I77" s="25"/>
      <c r="J77" s="25"/>
      <c r="K77" s="4"/>
      <c r="L77" s="25"/>
      <c r="M77" s="4"/>
      <c r="N77" s="4"/>
      <c r="O77" s="4"/>
    </row>
    <row r="78" spans="1:15" x14ac:dyDescent="0.2">
      <c r="A78" s="4"/>
      <c r="B78" s="4"/>
      <c r="C78" s="25"/>
      <c r="D78" s="25"/>
      <c r="E78" s="25"/>
      <c r="F78" s="25"/>
      <c r="G78" s="25"/>
      <c r="H78" s="25"/>
      <c r="I78" s="25"/>
      <c r="J78" s="25"/>
      <c r="K78" s="4"/>
      <c r="L78" s="25"/>
      <c r="M78" s="4"/>
      <c r="N78" s="4"/>
      <c r="O78" s="4"/>
    </row>
    <row r="79" spans="1:15" x14ac:dyDescent="0.2">
      <c r="A79" s="4"/>
      <c r="B79" s="4"/>
      <c r="C79" s="25"/>
      <c r="D79" s="25"/>
      <c r="E79" s="25"/>
      <c r="F79" s="25"/>
      <c r="G79" s="25"/>
      <c r="H79" s="25"/>
      <c r="I79" s="25"/>
      <c r="J79" s="25"/>
      <c r="K79" s="4"/>
      <c r="L79" s="25"/>
      <c r="M79" s="4"/>
      <c r="N79" s="4"/>
      <c r="O79" s="4"/>
    </row>
    <row r="80" spans="1:15" x14ac:dyDescent="0.2">
      <c r="A80" s="4"/>
      <c r="B80" s="4"/>
      <c r="C80" s="25"/>
      <c r="D80" s="25"/>
      <c r="E80" s="25"/>
      <c r="F80" s="25"/>
      <c r="G80" s="25"/>
      <c r="H80" s="25"/>
      <c r="I80" s="25"/>
      <c r="J80" s="25"/>
      <c r="K80" s="4"/>
      <c r="L80" s="25"/>
      <c r="M80" s="4"/>
      <c r="N80" s="4"/>
      <c r="O80" s="4"/>
    </row>
    <row r="81" spans="1:15" x14ac:dyDescent="0.2">
      <c r="A81" s="4"/>
      <c r="B81" s="4"/>
      <c r="C81" s="25"/>
      <c r="D81" s="25"/>
      <c r="E81" s="25"/>
      <c r="F81" s="25"/>
      <c r="G81" s="25"/>
      <c r="H81" s="25"/>
      <c r="I81" s="25"/>
      <c r="J81" s="25"/>
      <c r="K81" s="4"/>
      <c r="L81" s="25"/>
      <c r="M81" s="4"/>
      <c r="N81" s="4"/>
      <c r="O81" s="4"/>
    </row>
    <row r="82" spans="1:15" x14ac:dyDescent="0.2">
      <c r="A82" s="4"/>
      <c r="B82" s="4"/>
      <c r="C82" s="25"/>
      <c r="D82" s="25"/>
      <c r="E82" s="25"/>
      <c r="F82" s="25"/>
      <c r="G82" s="25"/>
      <c r="H82" s="25"/>
      <c r="I82" s="25"/>
      <c r="J82" s="25"/>
      <c r="K82" s="4"/>
      <c r="L82" s="25"/>
      <c r="M82" s="4"/>
      <c r="N82" s="4"/>
      <c r="O82" s="4"/>
    </row>
    <row r="83" spans="1:15" x14ac:dyDescent="0.2">
      <c r="A83" s="4"/>
      <c r="B83" s="4"/>
      <c r="C83" s="25"/>
      <c r="D83" s="25"/>
      <c r="E83" s="25"/>
      <c r="F83" s="25"/>
      <c r="G83" s="25"/>
      <c r="H83" s="25"/>
      <c r="I83" s="25"/>
      <c r="J83" s="25"/>
      <c r="K83" s="4"/>
      <c r="L83" s="25"/>
      <c r="M83" s="4"/>
      <c r="N83" s="4"/>
      <c r="O83" s="4"/>
    </row>
    <row r="84" spans="1:15" x14ac:dyDescent="0.2">
      <c r="A84" s="4"/>
      <c r="B84" s="4"/>
      <c r="C84" s="25"/>
      <c r="D84" s="25"/>
      <c r="E84" s="25"/>
      <c r="F84" s="25"/>
      <c r="G84" s="25"/>
      <c r="H84" s="25"/>
      <c r="I84" s="25"/>
      <c r="J84" s="25"/>
      <c r="K84" s="4"/>
      <c r="L84" s="25"/>
      <c r="M84" s="4"/>
      <c r="N84" s="4"/>
      <c r="O84" s="4"/>
    </row>
    <row r="85" spans="1:15" x14ac:dyDescent="0.2">
      <c r="A85" s="4"/>
      <c r="B85" s="4"/>
      <c r="C85" s="25"/>
      <c r="D85" s="25"/>
      <c r="E85" s="25"/>
      <c r="F85" s="25"/>
      <c r="G85" s="25"/>
      <c r="H85" s="25"/>
      <c r="I85" s="25"/>
      <c r="J85" s="25"/>
      <c r="K85" s="4"/>
      <c r="L85" s="25"/>
      <c r="M85" s="4"/>
      <c r="N85" s="4"/>
      <c r="O85" s="4"/>
    </row>
    <row r="86" spans="1:15" x14ac:dyDescent="0.2">
      <c r="A86" s="4"/>
      <c r="B86" s="4"/>
      <c r="C86" s="25"/>
      <c r="D86" s="25"/>
      <c r="E86" s="25"/>
      <c r="F86" s="25"/>
      <c r="G86" s="25"/>
      <c r="H86" s="25"/>
      <c r="I86" s="25"/>
      <c r="J86" s="25"/>
      <c r="K86" s="4"/>
      <c r="L86" s="25"/>
      <c r="M86" s="4"/>
      <c r="N86" s="4"/>
      <c r="O86" s="4"/>
    </row>
    <row r="87" spans="1:15" x14ac:dyDescent="0.2">
      <c r="A87" s="4"/>
      <c r="B87" s="4"/>
      <c r="C87" s="25"/>
      <c r="D87" s="25"/>
      <c r="E87" s="25"/>
      <c r="F87" s="25"/>
      <c r="G87" s="25"/>
      <c r="H87" s="25"/>
      <c r="I87" s="25"/>
      <c r="J87" s="25"/>
      <c r="K87" s="4"/>
      <c r="L87" s="25"/>
      <c r="M87" s="4"/>
      <c r="N87" s="4"/>
      <c r="O87" s="4"/>
    </row>
    <row r="88" spans="1:15" x14ac:dyDescent="0.2">
      <c r="A88" s="4"/>
      <c r="B88" s="4"/>
      <c r="C88" s="25"/>
      <c r="D88" s="25"/>
      <c r="E88" s="25"/>
      <c r="F88" s="25"/>
      <c r="G88" s="25"/>
      <c r="H88" s="25"/>
      <c r="I88" s="25"/>
      <c r="J88" s="25"/>
      <c r="K88" s="4"/>
      <c r="L88" s="25"/>
      <c r="M88" s="4"/>
      <c r="N88" s="4"/>
      <c r="O88" s="4"/>
    </row>
    <row r="89" spans="1:15" x14ac:dyDescent="0.2">
      <c r="A89" s="4"/>
      <c r="B89" s="4"/>
      <c r="C89" s="25"/>
      <c r="D89" s="25"/>
      <c r="E89" s="25"/>
      <c r="F89" s="25"/>
      <c r="G89" s="25"/>
      <c r="H89" s="25"/>
      <c r="I89" s="25"/>
      <c r="J89" s="25"/>
      <c r="K89" s="4"/>
      <c r="L89" s="25"/>
      <c r="M89" s="4"/>
      <c r="N89" s="4"/>
      <c r="O89" s="4"/>
    </row>
    <row r="90" spans="1:15" x14ac:dyDescent="0.2">
      <c r="A90" s="4"/>
      <c r="B90" s="4"/>
      <c r="C90" s="25"/>
      <c r="D90" s="25"/>
      <c r="E90" s="25"/>
      <c r="F90" s="25"/>
      <c r="G90" s="25"/>
      <c r="H90" s="25"/>
      <c r="I90" s="25"/>
      <c r="J90" s="25"/>
      <c r="K90" s="4"/>
      <c r="L90" s="25"/>
      <c r="M90" s="4"/>
      <c r="N90" s="4"/>
      <c r="O90" s="4"/>
    </row>
    <row r="91" spans="1:15" x14ac:dyDescent="0.2">
      <c r="A91" s="4"/>
      <c r="B91" s="4"/>
      <c r="C91" s="25"/>
      <c r="D91" s="25"/>
      <c r="E91" s="25"/>
      <c r="F91" s="25"/>
      <c r="G91" s="25"/>
      <c r="H91" s="25"/>
      <c r="I91" s="25"/>
      <c r="J91" s="25"/>
      <c r="K91" s="4"/>
      <c r="L91" s="25"/>
      <c r="M91" s="4"/>
      <c r="N91" s="4"/>
      <c r="O91" s="4"/>
    </row>
    <row r="92" spans="1:15" x14ac:dyDescent="0.2">
      <c r="A92" s="4"/>
      <c r="B92" s="4"/>
      <c r="C92" s="25"/>
      <c r="D92" s="25"/>
      <c r="E92" s="25"/>
      <c r="F92" s="25"/>
      <c r="G92" s="25"/>
      <c r="H92" s="25"/>
      <c r="I92" s="25"/>
      <c r="J92" s="25"/>
      <c r="K92" s="4"/>
      <c r="L92" s="25"/>
      <c r="M92" s="4"/>
      <c r="N92" s="4"/>
      <c r="O92" s="4"/>
    </row>
    <row r="93" spans="1:15" x14ac:dyDescent="0.2">
      <c r="A93" s="4"/>
      <c r="B93" s="4"/>
      <c r="C93" s="25"/>
      <c r="D93" s="25"/>
      <c r="E93" s="25"/>
      <c r="F93" s="25"/>
      <c r="G93" s="25"/>
      <c r="H93" s="25"/>
      <c r="I93" s="25"/>
      <c r="J93" s="25"/>
      <c r="K93" s="4"/>
      <c r="L93" s="25"/>
      <c r="M93" s="4"/>
      <c r="N93" s="4"/>
      <c r="O93" s="4"/>
    </row>
    <row r="94" spans="1:15" x14ac:dyDescent="0.2">
      <c r="A94" s="4"/>
      <c r="B94" s="4"/>
      <c r="C94" s="25"/>
      <c r="D94" s="25"/>
      <c r="E94" s="25"/>
      <c r="F94" s="25"/>
      <c r="G94" s="25"/>
      <c r="H94" s="25"/>
      <c r="I94" s="25"/>
      <c r="J94" s="25"/>
      <c r="K94" s="4"/>
      <c r="L94" s="25"/>
      <c r="M94" s="4"/>
      <c r="N94" s="4"/>
      <c r="O94" s="4"/>
    </row>
    <row r="95" spans="1:15" x14ac:dyDescent="0.2">
      <c r="A95" s="4"/>
      <c r="B95" s="4"/>
      <c r="C95" s="25"/>
      <c r="D95" s="25"/>
      <c r="E95" s="25"/>
      <c r="F95" s="25"/>
      <c r="G95" s="25"/>
      <c r="H95" s="25"/>
      <c r="I95" s="25"/>
      <c r="J95" s="25"/>
      <c r="K95" s="4"/>
      <c r="L95" s="25"/>
      <c r="M95" s="4"/>
      <c r="N95" s="4"/>
      <c r="O95" s="4"/>
    </row>
    <row r="96" spans="1:15" x14ac:dyDescent="0.2">
      <c r="A96" s="4"/>
      <c r="B96" s="4"/>
      <c r="C96" s="25"/>
      <c r="D96" s="25"/>
      <c r="E96" s="25"/>
      <c r="F96" s="25"/>
      <c r="G96" s="25"/>
      <c r="H96" s="25"/>
      <c r="I96" s="25"/>
      <c r="J96" s="25"/>
      <c r="K96" s="4"/>
      <c r="L96" s="25"/>
      <c r="M96" s="4"/>
      <c r="N96" s="4"/>
      <c r="O96" s="4"/>
    </row>
    <row r="97" spans="1:15" x14ac:dyDescent="0.2">
      <c r="A97" s="4"/>
      <c r="B97" s="4"/>
      <c r="C97" s="25"/>
      <c r="D97" s="25"/>
      <c r="E97" s="25"/>
      <c r="F97" s="25"/>
      <c r="G97" s="25"/>
      <c r="H97" s="25"/>
      <c r="I97" s="25"/>
      <c r="J97" s="25"/>
      <c r="K97" s="4"/>
      <c r="L97" s="25"/>
      <c r="M97" s="4"/>
      <c r="N97" s="4"/>
      <c r="O97" s="4"/>
    </row>
    <row r="98" spans="1:15" x14ac:dyDescent="0.2">
      <c r="A98" s="4"/>
      <c r="B98" s="4"/>
      <c r="C98" s="25"/>
      <c r="D98" s="25"/>
      <c r="E98" s="25"/>
      <c r="F98" s="25"/>
      <c r="G98" s="25"/>
      <c r="H98" s="25"/>
      <c r="I98" s="25"/>
      <c r="J98" s="25"/>
      <c r="K98" s="4"/>
      <c r="L98" s="25"/>
      <c r="M98" s="4"/>
      <c r="N98" s="4"/>
      <c r="O98" s="4"/>
    </row>
    <row r="99" spans="1:15" x14ac:dyDescent="0.2">
      <c r="A99" s="4"/>
      <c r="B99" s="4"/>
      <c r="C99" s="25"/>
      <c r="D99" s="25"/>
      <c r="E99" s="25"/>
      <c r="F99" s="25"/>
      <c r="G99" s="25"/>
      <c r="H99" s="25"/>
      <c r="I99" s="25"/>
      <c r="J99" s="25"/>
      <c r="K99" s="4"/>
      <c r="L99" s="25"/>
      <c r="M99" s="4"/>
      <c r="N99" s="4"/>
      <c r="O99" s="4"/>
    </row>
    <row r="100" spans="1:15" x14ac:dyDescent="0.2">
      <c r="A100" s="4"/>
      <c r="B100" s="4"/>
      <c r="C100" s="25"/>
      <c r="D100" s="25"/>
      <c r="E100" s="25"/>
      <c r="F100" s="25"/>
      <c r="G100" s="25"/>
      <c r="H100" s="25"/>
      <c r="I100" s="25"/>
      <c r="J100" s="25"/>
      <c r="K100" s="4"/>
      <c r="L100" s="25"/>
      <c r="M100" s="4"/>
      <c r="N100" s="4"/>
      <c r="O100" s="4"/>
    </row>
    <row r="101" spans="1:15" x14ac:dyDescent="0.2">
      <c r="A101" s="4"/>
      <c r="B101" s="4"/>
      <c r="C101" s="25"/>
      <c r="D101" s="25"/>
      <c r="E101" s="25"/>
      <c r="F101" s="25"/>
      <c r="G101" s="25"/>
      <c r="H101" s="25"/>
      <c r="I101" s="25"/>
      <c r="J101" s="25"/>
      <c r="K101" s="4"/>
      <c r="L101" s="25"/>
      <c r="M101" s="4"/>
      <c r="N101" s="4"/>
      <c r="O101" s="4"/>
    </row>
    <row r="102" spans="1:15" x14ac:dyDescent="0.2">
      <c r="A102" s="4"/>
      <c r="B102" s="4"/>
      <c r="C102" s="25"/>
      <c r="D102" s="25"/>
      <c r="E102" s="25"/>
      <c r="F102" s="25"/>
      <c r="G102" s="25"/>
      <c r="H102" s="25"/>
      <c r="I102" s="25"/>
      <c r="J102" s="25"/>
      <c r="K102" s="4"/>
      <c r="L102" s="25"/>
      <c r="M102" s="4"/>
      <c r="N102" s="4"/>
      <c r="O102" s="4"/>
    </row>
    <row r="103" spans="1:15" x14ac:dyDescent="0.2">
      <c r="A103" s="4"/>
      <c r="B103" s="4"/>
      <c r="C103" s="25"/>
      <c r="D103" s="25"/>
      <c r="E103" s="25"/>
      <c r="F103" s="25"/>
      <c r="G103" s="25"/>
      <c r="H103" s="25"/>
      <c r="I103" s="25"/>
      <c r="J103" s="25"/>
      <c r="K103" s="4"/>
      <c r="L103" s="25"/>
      <c r="M103" s="4"/>
      <c r="N103" s="4"/>
      <c r="O103" s="4"/>
    </row>
    <row r="104" spans="1:15" x14ac:dyDescent="0.2">
      <c r="A104" s="4"/>
      <c r="B104" s="4"/>
      <c r="C104" s="25"/>
      <c r="D104" s="25"/>
      <c r="E104" s="25"/>
      <c r="F104" s="25"/>
      <c r="G104" s="25"/>
      <c r="H104" s="25"/>
      <c r="I104" s="25"/>
      <c r="J104" s="25"/>
      <c r="K104" s="4"/>
      <c r="L104" s="25"/>
      <c r="M104" s="4"/>
      <c r="N104" s="4"/>
      <c r="O104" s="4"/>
    </row>
    <row r="105" spans="1:15" x14ac:dyDescent="0.2">
      <c r="A105" s="4"/>
      <c r="B105" s="4"/>
      <c r="C105" s="25"/>
      <c r="D105" s="25"/>
      <c r="E105" s="25"/>
      <c r="F105" s="25"/>
      <c r="G105" s="25"/>
      <c r="H105" s="25"/>
      <c r="I105" s="25"/>
      <c r="J105" s="25"/>
      <c r="K105" s="4"/>
      <c r="L105" s="25"/>
      <c r="M105" s="4"/>
      <c r="N105" s="4"/>
      <c r="O105" s="4"/>
    </row>
    <row r="106" spans="1:15" x14ac:dyDescent="0.2">
      <c r="A106" s="4"/>
      <c r="B106" s="4"/>
      <c r="C106" s="25"/>
      <c r="D106" s="25"/>
      <c r="E106" s="25"/>
      <c r="F106" s="25"/>
      <c r="G106" s="25"/>
      <c r="H106" s="25"/>
      <c r="I106" s="25"/>
      <c r="J106" s="25"/>
      <c r="K106" s="4"/>
      <c r="L106" s="25"/>
      <c r="M106" s="4"/>
      <c r="N106" s="4"/>
      <c r="O106" s="4"/>
    </row>
    <row r="107" spans="1:15" x14ac:dyDescent="0.2">
      <c r="A107" s="4"/>
      <c r="B107" s="4"/>
      <c r="C107" s="25"/>
      <c r="D107" s="25"/>
      <c r="E107" s="25"/>
      <c r="F107" s="25"/>
      <c r="G107" s="25"/>
      <c r="H107" s="25"/>
      <c r="I107" s="25"/>
      <c r="J107" s="25"/>
      <c r="K107" s="4"/>
      <c r="L107" s="25"/>
      <c r="M107" s="4"/>
      <c r="N107" s="4"/>
      <c r="O107" s="4"/>
    </row>
    <row r="108" spans="1:15" x14ac:dyDescent="0.2">
      <c r="A108" s="4"/>
      <c r="B108" s="4"/>
      <c r="C108" s="25"/>
      <c r="D108" s="25"/>
      <c r="E108" s="25"/>
      <c r="F108" s="25"/>
      <c r="G108" s="25"/>
      <c r="H108" s="25"/>
      <c r="I108" s="25"/>
      <c r="J108" s="25"/>
      <c r="K108" s="4"/>
      <c r="L108" s="25"/>
      <c r="M108" s="4"/>
      <c r="N108" s="4"/>
      <c r="O108" s="4"/>
    </row>
    <row r="109" spans="1:15" x14ac:dyDescent="0.2">
      <c r="A109" s="4"/>
      <c r="B109" s="4"/>
      <c r="C109" s="25"/>
      <c r="D109" s="25"/>
      <c r="E109" s="25"/>
      <c r="F109" s="25"/>
      <c r="G109" s="25"/>
      <c r="H109" s="25"/>
      <c r="I109" s="25"/>
      <c r="J109" s="25"/>
      <c r="K109" s="4"/>
      <c r="L109" s="25"/>
      <c r="M109" s="4"/>
      <c r="N109" s="4"/>
      <c r="O109" s="4"/>
    </row>
    <row r="110" spans="1:15" x14ac:dyDescent="0.2">
      <c r="A110" s="4"/>
      <c r="B110" s="4"/>
      <c r="C110" s="25"/>
      <c r="D110" s="25"/>
      <c r="E110" s="25"/>
      <c r="F110" s="25"/>
      <c r="G110" s="25"/>
      <c r="H110" s="25"/>
      <c r="I110" s="25"/>
      <c r="J110" s="25"/>
      <c r="K110" s="4"/>
      <c r="L110" s="25"/>
      <c r="M110" s="4"/>
      <c r="N110" s="4"/>
      <c r="O110" s="4"/>
    </row>
    <row r="111" spans="1:15" x14ac:dyDescent="0.2">
      <c r="A111" s="4"/>
      <c r="B111" s="4"/>
      <c r="C111" s="25"/>
      <c r="D111" s="25"/>
      <c r="E111" s="25"/>
      <c r="F111" s="25"/>
      <c r="G111" s="25"/>
      <c r="H111" s="25"/>
      <c r="I111" s="25"/>
      <c r="J111" s="25"/>
      <c r="K111" s="4"/>
      <c r="L111" s="25"/>
      <c r="M111" s="4"/>
      <c r="N111" s="4"/>
      <c r="O111" s="4"/>
    </row>
    <row r="112" spans="1:15" x14ac:dyDescent="0.2">
      <c r="A112" s="4"/>
      <c r="B112" s="4"/>
      <c r="C112" s="25"/>
      <c r="D112" s="25"/>
      <c r="E112" s="25"/>
      <c r="F112" s="25"/>
      <c r="G112" s="25"/>
      <c r="H112" s="25"/>
      <c r="I112" s="25"/>
      <c r="J112" s="25"/>
      <c r="K112" s="4"/>
      <c r="L112" s="25"/>
      <c r="M112" s="4"/>
      <c r="N112" s="4"/>
      <c r="O112" s="4"/>
    </row>
    <row r="113" spans="3:3" x14ac:dyDescent="0.2">
      <c r="C113" s="121"/>
    </row>
    <row r="114" spans="3:3" x14ac:dyDescent="0.2">
      <c r="C114" s="121"/>
    </row>
    <row r="115" spans="3:3" x14ac:dyDescent="0.2">
      <c r="C115" s="121"/>
    </row>
    <row r="116" spans="3:3" x14ac:dyDescent="0.2">
      <c r="C116" s="121"/>
    </row>
    <row r="117" spans="3:3" x14ac:dyDescent="0.2">
      <c r="C117" s="121"/>
    </row>
    <row r="118" spans="3:3" x14ac:dyDescent="0.2">
      <c r="C118" s="121"/>
    </row>
    <row r="119" spans="3:3" x14ac:dyDescent="0.2">
      <c r="C119" s="121"/>
    </row>
    <row r="120" spans="3:3" x14ac:dyDescent="0.2">
      <c r="C120" s="121"/>
    </row>
    <row r="121" spans="3:3" x14ac:dyDescent="0.2">
      <c r="C121" s="121"/>
    </row>
    <row r="122" spans="3:3" x14ac:dyDescent="0.2">
      <c r="C122" s="121"/>
    </row>
    <row r="123" spans="3:3" x14ac:dyDescent="0.2">
      <c r="C123" s="121"/>
    </row>
    <row r="124" spans="3:3" x14ac:dyDescent="0.2">
      <c r="C124" s="121"/>
    </row>
    <row r="125" spans="3:3" x14ac:dyDescent="0.2">
      <c r="C125" s="121"/>
    </row>
    <row r="126" spans="3:3" x14ac:dyDescent="0.2">
      <c r="C126" s="121"/>
    </row>
    <row r="127" spans="3:3" x14ac:dyDescent="0.2">
      <c r="C127" s="121"/>
    </row>
    <row r="128" spans="3:3" x14ac:dyDescent="0.2">
      <c r="C128" s="121"/>
    </row>
    <row r="129" spans="3:3" x14ac:dyDescent="0.2">
      <c r="C129" s="121"/>
    </row>
    <row r="130" spans="3:3" x14ac:dyDescent="0.2">
      <c r="C130" s="121"/>
    </row>
    <row r="131" spans="3:3" x14ac:dyDescent="0.2">
      <c r="C131" s="121"/>
    </row>
    <row r="132" spans="3:3" x14ac:dyDescent="0.2">
      <c r="C132" s="121"/>
    </row>
    <row r="133" spans="3:3" x14ac:dyDescent="0.2">
      <c r="C133" s="121"/>
    </row>
    <row r="134" spans="3:3" x14ac:dyDescent="0.2">
      <c r="C134" s="121"/>
    </row>
    <row r="135" spans="3:3" x14ac:dyDescent="0.2">
      <c r="C135" s="121"/>
    </row>
    <row r="136" spans="3:3" x14ac:dyDescent="0.2">
      <c r="C136" s="121"/>
    </row>
    <row r="137" spans="3:3" x14ac:dyDescent="0.2">
      <c r="C137" s="121"/>
    </row>
    <row r="138" spans="3:3" x14ac:dyDescent="0.2">
      <c r="C138" s="121"/>
    </row>
    <row r="139" spans="3:3" x14ac:dyDescent="0.2">
      <c r="C139" s="121"/>
    </row>
    <row r="140" spans="3:3" x14ac:dyDescent="0.2">
      <c r="C140" s="121"/>
    </row>
    <row r="141" spans="3:3" x14ac:dyDescent="0.2">
      <c r="C141" s="121"/>
    </row>
    <row r="142" spans="3:3" x14ac:dyDescent="0.2">
      <c r="C142" s="121"/>
    </row>
    <row r="143" spans="3:3" x14ac:dyDescent="0.2">
      <c r="C143" s="121"/>
    </row>
    <row r="144" spans="3:3" x14ac:dyDescent="0.2">
      <c r="C144" s="121"/>
    </row>
    <row r="145" spans="3:3" x14ac:dyDescent="0.2">
      <c r="C145" s="121"/>
    </row>
    <row r="146" spans="3:3" x14ac:dyDescent="0.2">
      <c r="C146" s="121"/>
    </row>
    <row r="147" spans="3:3" x14ac:dyDescent="0.2">
      <c r="C147" s="121"/>
    </row>
    <row r="148" spans="3:3" x14ac:dyDescent="0.2">
      <c r="C148" s="121"/>
    </row>
    <row r="149" spans="3:3" x14ac:dyDescent="0.2">
      <c r="C149" s="121"/>
    </row>
    <row r="150" spans="3:3" x14ac:dyDescent="0.2">
      <c r="C150" s="121"/>
    </row>
    <row r="151" spans="3:3" x14ac:dyDescent="0.2">
      <c r="C151" s="121"/>
    </row>
    <row r="152" spans="3:3" x14ac:dyDescent="0.2">
      <c r="C152" s="121"/>
    </row>
    <row r="153" spans="3:3" x14ac:dyDescent="0.2">
      <c r="C153" s="121"/>
    </row>
    <row r="154" spans="3:3" x14ac:dyDescent="0.2">
      <c r="C154" s="121"/>
    </row>
    <row r="155" spans="3:3" x14ac:dyDescent="0.2">
      <c r="C155" s="121"/>
    </row>
    <row r="156" spans="3:3" x14ac:dyDescent="0.2">
      <c r="C156" s="121"/>
    </row>
    <row r="157" spans="3:3" x14ac:dyDescent="0.2">
      <c r="C157" s="121"/>
    </row>
    <row r="158" spans="3:3" x14ac:dyDescent="0.2">
      <c r="C158" s="121"/>
    </row>
    <row r="159" spans="3:3" x14ac:dyDescent="0.2">
      <c r="C159" s="121"/>
    </row>
    <row r="160" spans="3:3"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sheetData>
  <phoneticPr fontId="0" type="noConversion"/>
  <hyperlinks>
    <hyperlink ref="A1" location="'Working Budget with funding det'!A1" display="Main "/>
    <hyperlink ref="B1" location="'Table of Contents'!A1" display="TOC"/>
  </hyperlinks>
  <pageMargins left="0.75" right="0.75" top="1" bottom="1" header="0.5" footer="0.5"/>
  <pageSetup scale="75" orientation="portrait" horizontalDpi="300" verticalDpi="300" r:id="rId1"/>
  <headerFooter alignWithMargins="0">
    <oddFooter xml:space="preserve">&amp;L&amp;D     &amp;T&amp;C&amp;F&amp;R&amp;A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2"/>
  <sheetViews>
    <sheetView zoomScale="85" workbookViewId="0">
      <pane ySplit="7" topLeftCell="A8" activePane="bottomLeft" state="frozen"/>
      <selection activeCell="K15" sqref="K15"/>
      <selection pane="bottomLeft" activeCell="I23" sqref="I23"/>
    </sheetView>
  </sheetViews>
  <sheetFormatPr defaultRowHeight="12.75" x14ac:dyDescent="0.2"/>
  <cols>
    <col min="2" max="2" width="36.6640625" customWidth="1"/>
    <col min="3" max="3" width="14.5" style="1" hidden="1" customWidth="1"/>
    <col min="4" max="7" width="14.5" style="121" hidden="1" customWidth="1"/>
    <col min="8" max="10" width="14.5" style="121" customWidth="1"/>
    <col min="11" max="11" width="14.5" customWidth="1"/>
    <col min="12" max="12" width="14.5" style="1" customWidth="1"/>
    <col min="13" max="15" width="14.5" customWidth="1"/>
    <col min="16" max="16" width="14.6640625" style="2" customWidth="1"/>
  </cols>
  <sheetData>
    <row r="1" spans="1:15" x14ac:dyDescent="0.2">
      <c r="A1" s="410" t="s">
        <v>1013</v>
      </c>
      <c r="B1" s="410" t="s">
        <v>1418</v>
      </c>
    </row>
    <row r="2" spans="1:15" ht="15" x14ac:dyDescent="0.25">
      <c r="A2" s="49" t="s">
        <v>254</v>
      </c>
      <c r="B2" s="49"/>
      <c r="E2" s="153"/>
      <c r="H2" s="153" t="s">
        <v>252</v>
      </c>
      <c r="I2" s="153"/>
      <c r="J2" s="153"/>
      <c r="K2" s="67" t="s">
        <v>275</v>
      </c>
      <c r="M2" s="50" t="s">
        <v>471</v>
      </c>
    </row>
    <row r="3" spans="1:15" ht="13.5" thickBot="1" x14ac:dyDescent="0.25">
      <c r="A3" s="4"/>
      <c r="B3" s="4"/>
      <c r="C3" s="25"/>
      <c r="D3" s="25"/>
      <c r="E3" s="25"/>
      <c r="F3" s="25"/>
      <c r="G3" s="25"/>
      <c r="H3" s="25"/>
      <c r="I3" s="25"/>
      <c r="J3" s="25"/>
      <c r="K3" s="4"/>
      <c r="L3" s="25"/>
      <c r="M3" s="4"/>
      <c r="O3" s="4"/>
    </row>
    <row r="4" spans="1:15" ht="13.5" thickTop="1" x14ac:dyDescent="0.2">
      <c r="A4" s="5"/>
      <c r="B4" s="726"/>
      <c r="C4" s="138" t="s">
        <v>122</v>
      </c>
      <c r="D4" s="279" t="s">
        <v>122</v>
      </c>
      <c r="E4" s="279" t="s">
        <v>122</v>
      </c>
      <c r="F4" s="279" t="s">
        <v>122</v>
      </c>
      <c r="G4" s="279" t="s">
        <v>122</v>
      </c>
      <c r="H4" s="119" t="s">
        <v>122</v>
      </c>
      <c r="I4" s="317" t="s">
        <v>122</v>
      </c>
      <c r="J4" s="317" t="s">
        <v>542</v>
      </c>
      <c r="K4" s="119" t="s">
        <v>489</v>
      </c>
      <c r="L4" s="91" t="s">
        <v>900</v>
      </c>
      <c r="M4" s="7" t="s">
        <v>900</v>
      </c>
    </row>
    <row r="5" spans="1:15" x14ac:dyDescent="0.2">
      <c r="A5" s="93"/>
      <c r="B5" s="216"/>
      <c r="C5" s="137"/>
      <c r="D5" s="94"/>
      <c r="E5" s="120"/>
      <c r="F5" s="94"/>
      <c r="G5" s="94"/>
      <c r="H5" s="120"/>
      <c r="I5" s="318"/>
      <c r="J5" s="318"/>
      <c r="K5" s="120" t="s">
        <v>509</v>
      </c>
      <c r="L5" s="95" t="s">
        <v>7</v>
      </c>
      <c r="M5" s="209" t="s">
        <v>783</v>
      </c>
    </row>
    <row r="6" spans="1:15" x14ac:dyDescent="0.2">
      <c r="A6" s="93"/>
      <c r="B6" s="216"/>
      <c r="C6" s="137"/>
      <c r="D6" s="137"/>
      <c r="E6" s="137"/>
      <c r="F6" s="137"/>
      <c r="G6" s="137"/>
      <c r="H6" s="137"/>
      <c r="I6" s="95"/>
      <c r="J6" s="95"/>
      <c r="K6" s="137"/>
      <c r="L6" s="95" t="s">
        <v>8</v>
      </c>
      <c r="M6" s="51" t="s">
        <v>537</v>
      </c>
    </row>
    <row r="7" spans="1:15" ht="13.5" thickBot="1" x14ac:dyDescent="0.25">
      <c r="A7" s="8" t="s">
        <v>123</v>
      </c>
      <c r="B7" s="89"/>
      <c r="C7" s="337" t="s">
        <v>334</v>
      </c>
      <c r="D7" s="337" t="s">
        <v>718</v>
      </c>
      <c r="E7" s="9" t="s">
        <v>734</v>
      </c>
      <c r="F7" s="9" t="s">
        <v>791</v>
      </c>
      <c r="G7" s="9" t="s">
        <v>881</v>
      </c>
      <c r="H7" s="9" t="s">
        <v>1010</v>
      </c>
      <c r="I7" s="9" t="s">
        <v>1072</v>
      </c>
      <c r="J7" s="9" t="s">
        <v>899</v>
      </c>
      <c r="K7" s="145">
        <v>43830</v>
      </c>
      <c r="L7" s="9" t="s">
        <v>9</v>
      </c>
      <c r="M7" s="9" t="s">
        <v>541</v>
      </c>
    </row>
    <row r="8" spans="1:15" ht="13.5" thickTop="1" x14ac:dyDescent="0.2">
      <c r="A8" s="30"/>
      <c r="B8" s="218"/>
      <c r="C8" s="142"/>
      <c r="D8" s="19"/>
      <c r="E8" s="19"/>
      <c r="F8" s="19"/>
      <c r="G8" s="19"/>
      <c r="H8" s="19"/>
      <c r="I8" s="19"/>
      <c r="J8" s="20"/>
      <c r="K8" s="19"/>
      <c r="L8" s="20"/>
      <c r="M8" s="20"/>
    </row>
    <row r="9" spans="1:15" x14ac:dyDescent="0.2">
      <c r="A9" s="12"/>
      <c r="B9" s="69"/>
      <c r="C9" s="140"/>
      <c r="D9" s="14"/>
      <c r="E9" s="14"/>
      <c r="F9" s="14"/>
      <c r="G9" s="14"/>
      <c r="H9" s="14"/>
      <c r="I9" s="14"/>
      <c r="J9" s="15"/>
      <c r="K9" s="14"/>
      <c r="L9" s="15"/>
      <c r="M9" s="15"/>
    </row>
    <row r="10" spans="1:15" ht="13.5" thickBot="1" x14ac:dyDescent="0.25">
      <c r="A10" s="12">
        <v>5780</v>
      </c>
      <c r="B10" s="69" t="s">
        <v>144</v>
      </c>
      <c r="C10" s="141">
        <v>44620</v>
      </c>
      <c r="D10" s="16">
        <v>24500</v>
      </c>
      <c r="E10" s="16">
        <v>41400</v>
      </c>
      <c r="F10" s="16">
        <v>55839.67</v>
      </c>
      <c r="G10" s="16">
        <v>58400.800000000003</v>
      </c>
      <c r="H10" s="16">
        <v>43309.74</v>
      </c>
      <c r="I10" s="16">
        <v>20200</v>
      </c>
      <c r="J10" s="17">
        <v>60000</v>
      </c>
      <c r="K10" s="16"/>
      <c r="L10" s="17">
        <v>60000</v>
      </c>
      <c r="M10" s="17"/>
    </row>
    <row r="11" spans="1:15" x14ac:dyDescent="0.2">
      <c r="A11" s="12"/>
      <c r="B11" s="70" t="s">
        <v>442</v>
      </c>
      <c r="C11" s="142">
        <f t="shared" ref="C11:L11" si="0">+C10</f>
        <v>44620</v>
      </c>
      <c r="D11" s="19">
        <f t="shared" si="0"/>
        <v>24500</v>
      </c>
      <c r="E11" s="19">
        <f t="shared" si="0"/>
        <v>41400</v>
      </c>
      <c r="F11" s="19">
        <f>+F10</f>
        <v>55839.67</v>
      </c>
      <c r="G11" s="19">
        <f>+G10</f>
        <v>58400.800000000003</v>
      </c>
      <c r="H11" s="19">
        <f>+H10</f>
        <v>43309.74</v>
      </c>
      <c r="I11" s="19">
        <f t="shared" si="0"/>
        <v>20200</v>
      </c>
      <c r="J11" s="38">
        <f t="shared" ref="J11" si="1">+J10</f>
        <v>60000</v>
      </c>
      <c r="K11" s="19">
        <f t="shared" si="0"/>
        <v>0</v>
      </c>
      <c r="L11" s="38">
        <f t="shared" si="0"/>
        <v>60000</v>
      </c>
      <c r="M11" s="38">
        <f>+M10</f>
        <v>0</v>
      </c>
    </row>
    <row r="12" spans="1:15" x14ac:dyDescent="0.2">
      <c r="A12" s="12"/>
      <c r="B12" s="69"/>
      <c r="C12" s="140"/>
      <c r="D12" s="14"/>
      <c r="E12" s="14"/>
      <c r="F12" s="14"/>
      <c r="G12" s="14"/>
      <c r="H12" s="14"/>
      <c r="I12" s="14"/>
      <c r="J12" s="15"/>
      <c r="K12" s="14"/>
      <c r="L12" s="15"/>
      <c r="M12" s="15"/>
    </row>
    <row r="13" spans="1:15" x14ac:dyDescent="0.2">
      <c r="A13" s="12"/>
      <c r="B13" s="69"/>
      <c r="C13" s="140"/>
      <c r="D13" s="14"/>
      <c r="E13" s="14"/>
      <c r="F13" s="14"/>
      <c r="G13" s="14"/>
      <c r="H13" s="14"/>
      <c r="I13" s="14"/>
      <c r="J13" s="15"/>
      <c r="K13" s="14"/>
      <c r="L13" s="15"/>
      <c r="M13" s="15"/>
    </row>
    <row r="14" spans="1:15" ht="13.5" thickBot="1" x14ac:dyDescent="0.25">
      <c r="A14" s="21"/>
      <c r="B14" s="825" t="s">
        <v>276</v>
      </c>
      <c r="C14" s="816">
        <f t="shared" ref="C14:L14" si="2">+C11</f>
        <v>44620</v>
      </c>
      <c r="D14" s="23">
        <f t="shared" si="2"/>
        <v>24500</v>
      </c>
      <c r="E14" s="23">
        <f>+E11</f>
        <v>41400</v>
      </c>
      <c r="F14" s="23">
        <f>+F11</f>
        <v>55839.67</v>
      </c>
      <c r="G14" s="23">
        <f>+G11</f>
        <v>58400.800000000003</v>
      </c>
      <c r="H14" s="23">
        <f>+H11</f>
        <v>43309.74</v>
      </c>
      <c r="I14" s="23">
        <f t="shared" si="2"/>
        <v>20200</v>
      </c>
      <c r="J14" s="24">
        <f t="shared" ref="J14" si="3">+J11</f>
        <v>60000</v>
      </c>
      <c r="K14" s="23">
        <f t="shared" si="2"/>
        <v>0</v>
      </c>
      <c r="L14" s="24">
        <f t="shared" si="2"/>
        <v>60000</v>
      </c>
      <c r="M14" s="24">
        <f>+L14</f>
        <v>60000</v>
      </c>
    </row>
    <row r="15" spans="1:15" ht="13.5" thickTop="1" x14ac:dyDescent="0.2">
      <c r="A15" s="4"/>
      <c r="B15" s="872"/>
      <c r="C15" s="873"/>
      <c r="D15" s="873"/>
      <c r="E15" s="873"/>
      <c r="F15" s="873"/>
      <c r="G15" s="873"/>
      <c r="H15" s="873"/>
      <c r="I15" s="26"/>
      <c r="J15" s="26"/>
      <c r="K15" s="27"/>
      <c r="L15" s="26"/>
      <c r="M15" s="27"/>
      <c r="N15" s="27"/>
      <c r="O15" s="27"/>
    </row>
    <row r="16" spans="1:15" x14ac:dyDescent="0.2">
      <c r="A16" s="72"/>
      <c r="B16" s="28"/>
      <c r="C16" s="26"/>
      <c r="D16" s="26"/>
      <c r="E16" s="26"/>
      <c r="F16" s="26"/>
      <c r="G16" s="26"/>
      <c r="H16" s="26"/>
      <c r="I16" s="25"/>
      <c r="J16" s="25"/>
      <c r="K16" s="29"/>
      <c r="L16" s="358">
        <f>+L14-J14</f>
        <v>0</v>
      </c>
      <c r="M16" s="851">
        <f>ROUND((+L16/J14),4)</f>
        <v>0</v>
      </c>
      <c r="N16" s="29"/>
      <c r="O16" s="29"/>
    </row>
    <row r="17" spans="1:15" x14ac:dyDescent="0.2">
      <c r="A17" s="72"/>
      <c r="B17" s="28"/>
      <c r="C17" s="26"/>
      <c r="D17" s="26"/>
      <c r="E17" s="26"/>
      <c r="F17" s="26"/>
      <c r="G17" s="26"/>
      <c r="H17" s="874"/>
      <c r="I17" s="849"/>
      <c r="J17" s="208"/>
      <c r="K17" s="850"/>
      <c r="L17" s="26"/>
      <c r="M17" s="27"/>
      <c r="N17" s="27"/>
      <c r="O17" s="27"/>
    </row>
    <row r="18" spans="1:15" x14ac:dyDescent="0.2">
      <c r="A18" s="72"/>
      <c r="B18" s="28"/>
      <c r="C18" s="26"/>
      <c r="D18" s="26"/>
      <c r="E18" s="26"/>
      <c r="F18" s="26"/>
      <c r="G18" s="26"/>
      <c r="H18" s="26"/>
      <c r="I18" s="26"/>
      <c r="J18" s="26"/>
      <c r="K18" s="27"/>
      <c r="L18" s="26"/>
      <c r="M18" s="27"/>
      <c r="N18" s="27"/>
      <c r="O18" s="27"/>
    </row>
    <row r="19" spans="1:15" x14ac:dyDescent="0.2">
      <c r="A19" s="4"/>
      <c r="B19" s="4"/>
      <c r="C19" s="26"/>
      <c r="D19" s="26"/>
      <c r="E19" s="26"/>
      <c r="F19" s="26"/>
      <c r="G19" s="26"/>
      <c r="H19" s="26"/>
      <c r="I19" s="26"/>
      <c r="J19" s="26"/>
      <c r="K19" s="27"/>
      <c r="L19" s="26"/>
      <c r="M19" s="27"/>
      <c r="N19" s="27"/>
      <c r="O19" s="27"/>
    </row>
    <row r="20" spans="1:15" x14ac:dyDescent="0.2">
      <c r="A20" s="4"/>
      <c r="B20" s="4"/>
      <c r="C20" s="26"/>
      <c r="D20" s="26"/>
      <c r="E20" s="26"/>
      <c r="F20" s="26"/>
      <c r="G20" s="26"/>
      <c r="H20" s="26"/>
      <c r="I20" s="26"/>
      <c r="J20" s="26"/>
      <c r="K20" s="27"/>
      <c r="L20" s="26"/>
      <c r="M20" s="27"/>
      <c r="N20" s="27"/>
      <c r="O20" s="27"/>
    </row>
    <row r="21" spans="1:15" x14ac:dyDescent="0.2">
      <c r="A21" s="4"/>
      <c r="B21" s="4"/>
      <c r="C21" s="26"/>
      <c r="D21" s="26"/>
      <c r="E21" s="26"/>
      <c r="F21" s="26"/>
      <c r="G21" s="26"/>
      <c r="H21" s="26"/>
      <c r="I21" s="26"/>
      <c r="J21" s="26"/>
      <c r="K21" s="27"/>
      <c r="L21" s="26"/>
      <c r="M21" s="27"/>
      <c r="N21" s="27"/>
      <c r="O21" s="27"/>
    </row>
    <row r="22" spans="1:15" x14ac:dyDescent="0.2">
      <c r="A22" s="4"/>
      <c r="B22" s="4"/>
      <c r="C22" s="26"/>
      <c r="D22" s="26"/>
      <c r="E22" s="26"/>
      <c r="F22" s="26"/>
      <c r="G22" s="26"/>
      <c r="H22" s="26"/>
      <c r="I22" s="26"/>
      <c r="J22" s="26"/>
      <c r="K22" s="27"/>
      <c r="L22" s="26"/>
      <c r="M22" s="27"/>
      <c r="N22" s="27"/>
      <c r="O22" s="27"/>
    </row>
    <row r="23" spans="1:15" x14ac:dyDescent="0.2">
      <c r="A23" s="4"/>
      <c r="B23" s="4"/>
      <c r="C23" s="26"/>
      <c r="D23" s="26"/>
      <c r="E23" s="26"/>
      <c r="F23" s="26"/>
      <c r="G23" s="26"/>
      <c r="H23" s="26"/>
      <c r="I23" s="26"/>
      <c r="J23" s="26"/>
      <c r="K23" s="27"/>
      <c r="L23" s="26"/>
      <c r="M23" s="27"/>
      <c r="N23" s="27"/>
      <c r="O23" s="27"/>
    </row>
    <row r="24" spans="1:15" x14ac:dyDescent="0.2">
      <c r="A24" s="4"/>
      <c r="B24" s="4"/>
      <c r="C24" s="26"/>
      <c r="D24" s="26"/>
      <c r="E24" s="26"/>
      <c r="F24" s="26"/>
      <c r="G24" s="26"/>
      <c r="H24" s="26"/>
      <c r="I24" s="26"/>
      <c r="J24" s="26"/>
      <c r="K24" s="27"/>
      <c r="L24" s="26"/>
      <c r="M24" s="27"/>
      <c r="N24" s="27"/>
      <c r="O24" s="27"/>
    </row>
    <row r="25" spans="1:15" x14ac:dyDescent="0.2">
      <c r="A25" s="4"/>
      <c r="B25" s="4"/>
      <c r="C25" s="26"/>
      <c r="D25" s="26"/>
      <c r="E25" s="26"/>
      <c r="F25" s="26"/>
      <c r="G25" s="26"/>
      <c r="H25" s="26"/>
      <c r="I25" s="26"/>
      <c r="J25" s="26"/>
      <c r="K25" s="27"/>
      <c r="L25" s="26"/>
      <c r="M25" s="27"/>
      <c r="N25" s="27"/>
      <c r="O25" s="27"/>
    </row>
    <row r="26" spans="1:15" x14ac:dyDescent="0.2">
      <c r="A26" s="4"/>
      <c r="B26" s="4"/>
      <c r="C26" s="26"/>
      <c r="D26" s="26"/>
      <c r="E26" s="26"/>
      <c r="F26" s="26"/>
      <c r="G26" s="26"/>
      <c r="H26" s="26"/>
      <c r="I26" s="26"/>
      <c r="J26" s="26"/>
      <c r="K26" s="27"/>
      <c r="L26" s="26"/>
      <c r="M26" s="27"/>
      <c r="N26" s="27"/>
      <c r="O26" s="27"/>
    </row>
    <row r="27" spans="1:15" x14ac:dyDescent="0.2">
      <c r="A27" s="4"/>
      <c r="B27" s="4"/>
      <c r="C27" s="25"/>
      <c r="D27" s="25"/>
      <c r="E27" s="25"/>
      <c r="F27" s="25"/>
      <c r="G27" s="25"/>
      <c r="H27" s="25"/>
      <c r="I27" s="25"/>
      <c r="J27" s="25"/>
      <c r="K27" s="29"/>
      <c r="L27" s="25"/>
      <c r="M27" s="29"/>
      <c r="N27" s="29"/>
      <c r="O27" s="29"/>
    </row>
    <row r="28" spans="1:15" x14ac:dyDescent="0.2">
      <c r="A28" s="4"/>
      <c r="B28" s="4"/>
      <c r="C28" s="25"/>
      <c r="D28" s="25"/>
      <c r="E28" s="25"/>
      <c r="F28" s="25"/>
      <c r="G28" s="25"/>
      <c r="H28" s="25"/>
      <c r="I28" s="25"/>
      <c r="J28" s="25"/>
      <c r="K28" s="29"/>
      <c r="L28" s="25"/>
      <c r="M28" s="29"/>
      <c r="N28" s="29"/>
      <c r="O28" s="29"/>
    </row>
    <row r="29" spans="1:15" x14ac:dyDescent="0.2">
      <c r="A29" s="4"/>
      <c r="B29" s="4"/>
      <c r="C29" s="25"/>
      <c r="D29" s="25"/>
      <c r="E29" s="25"/>
      <c r="F29" s="25"/>
      <c r="G29" s="25"/>
      <c r="H29" s="25"/>
      <c r="I29" s="25"/>
      <c r="J29" s="25"/>
      <c r="K29" s="29"/>
      <c r="L29" s="25"/>
      <c r="M29" s="29"/>
      <c r="N29" s="29"/>
      <c r="O29" s="29"/>
    </row>
    <row r="30" spans="1:15" x14ac:dyDescent="0.2">
      <c r="A30" s="4"/>
      <c r="B30" s="4"/>
      <c r="C30" s="25"/>
      <c r="D30" s="25"/>
      <c r="E30" s="25"/>
      <c r="F30" s="25"/>
      <c r="G30" s="25"/>
      <c r="H30" s="25"/>
      <c r="I30" s="25"/>
      <c r="J30" s="25"/>
      <c r="K30" s="29"/>
      <c r="L30" s="25"/>
      <c r="M30" s="29"/>
      <c r="N30" s="29"/>
      <c r="O30" s="29"/>
    </row>
    <row r="31" spans="1:15" x14ac:dyDescent="0.2">
      <c r="A31" s="4"/>
      <c r="B31" s="4"/>
      <c r="C31" s="25"/>
      <c r="D31" s="25"/>
      <c r="E31" s="25"/>
      <c r="F31" s="25"/>
      <c r="G31" s="25"/>
      <c r="H31" s="25"/>
      <c r="I31" s="25"/>
      <c r="J31" s="25"/>
      <c r="K31" s="29"/>
      <c r="L31" s="25"/>
      <c r="M31" s="29"/>
      <c r="N31" s="29"/>
      <c r="O31" s="29"/>
    </row>
    <row r="32" spans="1:15" x14ac:dyDescent="0.2">
      <c r="A32" s="4"/>
      <c r="B32" s="4"/>
      <c r="C32" s="25"/>
      <c r="D32" s="25"/>
      <c r="E32" s="25"/>
      <c r="F32" s="25"/>
      <c r="G32" s="25"/>
      <c r="H32" s="25"/>
      <c r="I32" s="25"/>
      <c r="J32" s="25"/>
      <c r="K32" s="29"/>
      <c r="L32" s="25"/>
      <c r="M32" s="29"/>
      <c r="N32" s="29"/>
      <c r="O32" s="29"/>
    </row>
    <row r="33" spans="1:15" x14ac:dyDescent="0.2">
      <c r="A33" s="4"/>
      <c r="B33" s="4"/>
      <c r="C33" s="25"/>
      <c r="D33" s="25"/>
      <c r="E33" s="25"/>
      <c r="F33" s="25"/>
      <c r="G33" s="25"/>
      <c r="H33" s="25"/>
      <c r="I33" s="25"/>
      <c r="J33" s="25"/>
      <c r="K33" s="29"/>
      <c r="L33" s="25"/>
      <c r="M33" s="29"/>
      <c r="N33" s="29"/>
      <c r="O33" s="29"/>
    </row>
    <row r="34" spans="1:15" x14ac:dyDescent="0.2">
      <c r="A34" s="4"/>
      <c r="B34" s="4"/>
      <c r="C34" s="25"/>
      <c r="D34" s="25"/>
      <c r="E34" s="25"/>
      <c r="F34" s="25"/>
      <c r="G34" s="25"/>
      <c r="H34" s="25"/>
      <c r="I34" s="25"/>
      <c r="J34" s="25"/>
      <c r="K34" s="29"/>
      <c r="L34" s="25"/>
      <c r="M34" s="29"/>
      <c r="N34" s="29"/>
      <c r="O34" s="29"/>
    </row>
    <row r="35" spans="1:15" x14ac:dyDescent="0.2">
      <c r="A35" s="4"/>
      <c r="B35" s="4"/>
      <c r="C35" s="25"/>
      <c r="D35" s="25"/>
      <c r="E35" s="25"/>
      <c r="F35" s="25"/>
      <c r="G35" s="25"/>
      <c r="H35" s="25"/>
      <c r="I35" s="25"/>
      <c r="J35" s="25"/>
      <c r="K35" s="29"/>
      <c r="L35" s="25"/>
      <c r="M35" s="29"/>
      <c r="N35" s="29"/>
      <c r="O35" s="29"/>
    </row>
    <row r="36" spans="1:15" x14ac:dyDescent="0.2">
      <c r="A36" s="4"/>
      <c r="B36" s="4"/>
      <c r="C36" s="25"/>
      <c r="D36" s="25"/>
      <c r="E36" s="25"/>
      <c r="F36" s="25"/>
      <c r="G36" s="25"/>
      <c r="H36" s="25"/>
      <c r="I36" s="25"/>
      <c r="J36" s="25"/>
      <c r="K36" s="29"/>
      <c r="L36" s="25"/>
      <c r="M36" s="29"/>
      <c r="N36" s="29"/>
      <c r="O36" s="29"/>
    </row>
    <row r="37" spans="1:15" x14ac:dyDescent="0.2">
      <c r="A37" s="4"/>
      <c r="B37" s="4"/>
      <c r="C37" s="25"/>
      <c r="D37" s="25"/>
      <c r="E37" s="25"/>
      <c r="F37" s="25"/>
      <c r="G37" s="25"/>
      <c r="H37" s="25"/>
      <c r="I37" s="25"/>
      <c r="J37" s="25"/>
      <c r="K37" s="29"/>
      <c r="L37" s="25"/>
      <c r="M37" s="29"/>
      <c r="N37" s="29"/>
      <c r="O37" s="29"/>
    </row>
    <row r="38" spans="1:15" x14ac:dyDescent="0.2">
      <c r="A38" s="4"/>
      <c r="B38" s="4"/>
      <c r="C38" s="25"/>
      <c r="D38" s="25"/>
      <c r="E38" s="25"/>
      <c r="F38" s="25"/>
      <c r="G38" s="25"/>
      <c r="H38" s="25"/>
      <c r="I38" s="25"/>
      <c r="J38" s="25"/>
      <c r="K38" s="29"/>
      <c r="L38" s="25"/>
      <c r="M38" s="29"/>
      <c r="N38" s="29"/>
      <c r="O38" s="29"/>
    </row>
    <row r="39" spans="1:15" x14ac:dyDescent="0.2">
      <c r="A39" s="4"/>
      <c r="B39" s="4"/>
      <c r="C39" s="25"/>
      <c r="D39" s="25"/>
      <c r="E39" s="25"/>
      <c r="F39" s="25"/>
      <c r="G39" s="25"/>
      <c r="H39" s="25"/>
      <c r="I39" s="25"/>
      <c r="J39" s="25"/>
      <c r="K39" s="29"/>
      <c r="L39" s="25"/>
      <c r="M39" s="29"/>
      <c r="N39" s="29"/>
      <c r="O39" s="29"/>
    </row>
    <row r="40" spans="1:15" x14ac:dyDescent="0.2">
      <c r="A40" s="4"/>
      <c r="B40" s="4"/>
      <c r="C40" s="25"/>
      <c r="D40" s="25"/>
      <c r="E40" s="25"/>
      <c r="F40" s="25"/>
      <c r="G40" s="25"/>
      <c r="H40" s="25"/>
      <c r="I40" s="25"/>
      <c r="J40" s="25"/>
      <c r="K40" s="29"/>
      <c r="L40" s="25"/>
      <c r="M40" s="29"/>
      <c r="N40" s="29"/>
      <c r="O40" s="29"/>
    </row>
    <row r="41" spans="1:15" x14ac:dyDescent="0.2">
      <c r="A41" s="4"/>
      <c r="B41" s="4"/>
      <c r="C41" s="25"/>
      <c r="D41" s="25"/>
      <c r="E41" s="25"/>
      <c r="F41" s="25"/>
      <c r="G41" s="25"/>
      <c r="H41" s="25"/>
      <c r="I41" s="25"/>
      <c r="J41" s="25"/>
      <c r="K41" s="29"/>
      <c r="L41" s="25"/>
      <c r="M41" s="29"/>
      <c r="N41" s="29"/>
      <c r="O41" s="29"/>
    </row>
    <row r="42" spans="1:15" x14ac:dyDescent="0.2">
      <c r="A42" s="4"/>
      <c r="B42" s="4"/>
      <c r="C42" s="25"/>
      <c r="D42" s="25"/>
      <c r="E42" s="25"/>
      <c r="F42" s="25"/>
      <c r="G42" s="25"/>
      <c r="H42" s="25"/>
      <c r="I42" s="25"/>
      <c r="J42" s="25"/>
      <c r="K42" s="29"/>
      <c r="L42" s="25"/>
      <c r="M42" s="29"/>
      <c r="N42" s="29"/>
      <c r="O42" s="29"/>
    </row>
    <row r="43" spans="1:15" x14ac:dyDescent="0.2">
      <c r="A43" s="4"/>
      <c r="B43" s="4"/>
      <c r="C43" s="25"/>
      <c r="D43" s="25"/>
      <c r="E43" s="25"/>
      <c r="F43" s="25"/>
      <c r="G43" s="25"/>
      <c r="H43" s="25"/>
      <c r="I43" s="25"/>
      <c r="J43" s="25"/>
      <c r="K43" s="29"/>
      <c r="L43" s="25"/>
      <c r="M43" s="29"/>
      <c r="N43" s="29"/>
      <c r="O43" s="29"/>
    </row>
    <row r="44" spans="1:15" x14ac:dyDescent="0.2">
      <c r="A44" s="4"/>
      <c r="B44" s="4"/>
      <c r="C44" s="25"/>
      <c r="D44" s="25"/>
      <c r="E44" s="25"/>
      <c r="F44" s="25"/>
      <c r="G44" s="25"/>
      <c r="H44" s="25"/>
      <c r="I44" s="25"/>
      <c r="J44" s="25"/>
      <c r="K44" s="29"/>
      <c r="L44" s="25"/>
      <c r="M44" s="29"/>
      <c r="N44" s="29"/>
      <c r="O44" s="29"/>
    </row>
    <row r="45" spans="1:15" x14ac:dyDescent="0.2">
      <c r="A45" s="4"/>
      <c r="B45" s="4"/>
      <c r="C45" s="25"/>
      <c r="D45" s="25"/>
      <c r="E45" s="25"/>
      <c r="F45" s="25"/>
      <c r="G45" s="25"/>
      <c r="H45" s="25"/>
      <c r="I45" s="25"/>
      <c r="J45" s="25"/>
      <c r="K45" s="29"/>
      <c r="L45" s="25"/>
      <c r="M45" s="29"/>
      <c r="N45" s="29"/>
      <c r="O45" s="29"/>
    </row>
    <row r="46" spans="1:15" x14ac:dyDescent="0.2">
      <c r="A46" s="4"/>
      <c r="B46" s="4"/>
      <c r="C46" s="25"/>
      <c r="D46" s="25"/>
      <c r="E46" s="25"/>
      <c r="F46" s="25"/>
      <c r="G46" s="25"/>
      <c r="H46" s="25"/>
      <c r="I46" s="25"/>
      <c r="J46" s="25"/>
      <c r="K46" s="29"/>
      <c r="L46" s="25"/>
      <c r="M46" s="29"/>
      <c r="N46" s="29"/>
      <c r="O46" s="29"/>
    </row>
    <row r="47" spans="1:15" x14ac:dyDescent="0.2">
      <c r="A47" s="4"/>
      <c r="B47" s="4"/>
      <c r="C47" s="25"/>
      <c r="D47" s="25"/>
      <c r="E47" s="25"/>
      <c r="F47" s="25"/>
      <c r="G47" s="25"/>
      <c r="H47" s="25"/>
      <c r="I47" s="25"/>
      <c r="J47" s="25"/>
      <c r="K47" s="29"/>
      <c r="L47" s="25"/>
      <c r="M47" s="29"/>
      <c r="N47" s="29"/>
      <c r="O47" s="29"/>
    </row>
    <row r="48" spans="1:15" x14ac:dyDescent="0.2">
      <c r="A48" s="4"/>
      <c r="B48" s="4"/>
      <c r="C48" s="25"/>
      <c r="D48" s="25"/>
      <c r="E48" s="25"/>
      <c r="F48" s="25"/>
      <c r="G48" s="25"/>
      <c r="H48" s="25"/>
      <c r="I48" s="25"/>
      <c r="J48" s="25"/>
      <c r="K48" s="29"/>
      <c r="L48" s="25"/>
      <c r="M48" s="29"/>
      <c r="N48" s="29"/>
      <c r="O48" s="29"/>
    </row>
    <row r="49" spans="1:15" x14ac:dyDescent="0.2">
      <c r="A49" s="4"/>
      <c r="B49" s="4"/>
      <c r="C49" s="25"/>
      <c r="D49" s="25"/>
      <c r="E49" s="25"/>
      <c r="F49" s="25"/>
      <c r="G49" s="25"/>
      <c r="H49" s="25"/>
      <c r="I49" s="25"/>
      <c r="J49" s="25"/>
      <c r="K49" s="29"/>
      <c r="L49" s="25"/>
      <c r="M49" s="29"/>
      <c r="N49" s="29"/>
      <c r="O49" s="29"/>
    </row>
    <row r="50" spans="1:15" x14ac:dyDescent="0.2">
      <c r="A50" s="4"/>
      <c r="B50" s="4"/>
      <c r="C50" s="25"/>
      <c r="D50" s="25"/>
      <c r="E50" s="25"/>
      <c r="F50" s="25"/>
      <c r="G50" s="25"/>
      <c r="H50" s="25"/>
      <c r="I50" s="25"/>
      <c r="J50" s="25"/>
      <c r="K50" s="29"/>
      <c r="L50" s="25"/>
      <c r="M50" s="29"/>
      <c r="N50" s="29"/>
      <c r="O50" s="29"/>
    </row>
    <row r="51" spans="1:15" x14ac:dyDescent="0.2">
      <c r="A51" s="4"/>
      <c r="B51" s="4"/>
      <c r="C51" s="25"/>
      <c r="D51" s="25"/>
      <c r="E51" s="25"/>
      <c r="F51" s="25"/>
      <c r="G51" s="25"/>
      <c r="H51" s="25"/>
      <c r="I51" s="25"/>
      <c r="J51" s="25"/>
      <c r="K51" s="29"/>
      <c r="L51" s="25"/>
      <c r="M51" s="29"/>
      <c r="N51" s="29"/>
      <c r="O51" s="29"/>
    </row>
    <row r="52" spans="1:15" x14ac:dyDescent="0.2">
      <c r="A52" s="4"/>
      <c r="B52" s="4"/>
      <c r="C52" s="25"/>
      <c r="D52" s="25"/>
      <c r="E52" s="25"/>
      <c r="F52" s="25"/>
      <c r="G52" s="25"/>
      <c r="H52" s="25"/>
      <c r="I52" s="25"/>
      <c r="J52" s="25"/>
      <c r="K52" s="29"/>
      <c r="L52" s="25"/>
      <c r="M52" s="29"/>
      <c r="N52" s="29"/>
      <c r="O52" s="29"/>
    </row>
    <row r="53" spans="1:15" x14ac:dyDescent="0.2">
      <c r="A53" s="4"/>
      <c r="B53" s="4"/>
      <c r="C53" s="25"/>
      <c r="D53" s="25"/>
      <c r="E53" s="25"/>
      <c r="F53" s="25"/>
      <c r="G53" s="25"/>
      <c r="H53" s="25"/>
      <c r="I53" s="25"/>
      <c r="J53" s="25"/>
      <c r="K53" s="29"/>
      <c r="L53" s="25"/>
      <c r="M53" s="29"/>
      <c r="N53" s="29"/>
      <c r="O53" s="29"/>
    </row>
    <row r="54" spans="1:15" x14ac:dyDescent="0.2">
      <c r="A54" s="4"/>
      <c r="B54" s="4"/>
      <c r="C54" s="25"/>
      <c r="D54" s="25"/>
      <c r="E54" s="25"/>
      <c r="F54" s="25"/>
      <c r="G54" s="25"/>
      <c r="H54" s="25"/>
      <c r="I54" s="25"/>
      <c r="J54" s="25"/>
      <c r="K54" s="29"/>
      <c r="L54" s="25"/>
      <c r="M54" s="29"/>
      <c r="N54" s="29"/>
      <c r="O54" s="29"/>
    </row>
    <row r="55" spans="1:15" x14ac:dyDescent="0.2">
      <c r="A55" s="4"/>
      <c r="B55" s="4"/>
      <c r="C55" s="25"/>
      <c r="D55" s="25"/>
      <c r="E55" s="25"/>
      <c r="F55" s="25"/>
      <c r="G55" s="25"/>
      <c r="H55" s="25"/>
      <c r="I55" s="25"/>
      <c r="J55" s="25"/>
      <c r="K55" s="29"/>
      <c r="L55" s="25"/>
      <c r="M55" s="29"/>
      <c r="N55" s="29"/>
      <c r="O55" s="29"/>
    </row>
    <row r="56" spans="1:15" x14ac:dyDescent="0.2">
      <c r="A56" s="4"/>
      <c r="B56" s="4"/>
      <c r="C56" s="25"/>
      <c r="D56" s="25"/>
      <c r="E56" s="25"/>
      <c r="F56" s="25"/>
      <c r="G56" s="25"/>
      <c r="H56" s="25"/>
      <c r="I56" s="25"/>
      <c r="J56" s="25"/>
      <c r="K56" s="29"/>
      <c r="L56" s="25"/>
      <c r="M56" s="29"/>
      <c r="N56" s="29"/>
      <c r="O56" s="29"/>
    </row>
    <row r="57" spans="1:15" x14ac:dyDescent="0.2">
      <c r="A57" s="4"/>
      <c r="B57" s="4"/>
      <c r="C57" s="25"/>
      <c r="D57" s="25"/>
      <c r="E57" s="25"/>
      <c r="F57" s="25"/>
      <c r="G57" s="25"/>
      <c r="H57" s="25"/>
      <c r="I57" s="25"/>
      <c r="J57" s="25"/>
      <c r="K57" s="29"/>
      <c r="L57" s="25"/>
      <c r="M57" s="29"/>
      <c r="N57" s="29"/>
      <c r="O57" s="29"/>
    </row>
    <row r="58" spans="1:15" x14ac:dyDescent="0.2">
      <c r="A58" s="4"/>
      <c r="B58" s="4"/>
      <c r="C58" s="25"/>
      <c r="D58" s="25"/>
      <c r="E58" s="25"/>
      <c r="F58" s="25"/>
      <c r="G58" s="25"/>
      <c r="H58" s="25"/>
      <c r="I58" s="25"/>
      <c r="J58" s="25"/>
      <c r="K58" s="29"/>
      <c r="L58" s="25"/>
      <c r="M58" s="29"/>
      <c r="N58" s="29"/>
      <c r="O58" s="29"/>
    </row>
    <row r="59" spans="1:15" x14ac:dyDescent="0.2">
      <c r="A59" s="4"/>
      <c r="B59" s="4"/>
      <c r="C59" s="25"/>
      <c r="D59" s="25"/>
      <c r="E59" s="25"/>
      <c r="F59" s="25"/>
      <c r="G59" s="25"/>
      <c r="H59" s="25"/>
      <c r="I59" s="25"/>
      <c r="J59" s="25"/>
      <c r="K59" s="29"/>
      <c r="L59" s="25"/>
      <c r="M59" s="29"/>
      <c r="N59" s="29"/>
      <c r="O59" s="29"/>
    </row>
    <row r="60" spans="1:15" x14ac:dyDescent="0.2">
      <c r="A60" s="4"/>
      <c r="B60" s="4"/>
      <c r="C60" s="25"/>
      <c r="D60" s="25"/>
      <c r="E60" s="25"/>
      <c r="F60" s="25"/>
      <c r="G60" s="25"/>
      <c r="H60" s="25"/>
      <c r="I60" s="25"/>
      <c r="J60" s="25"/>
      <c r="K60" s="29"/>
      <c r="L60" s="25"/>
      <c r="M60" s="29"/>
      <c r="N60" s="29"/>
      <c r="O60" s="29"/>
    </row>
    <row r="61" spans="1:15" x14ac:dyDescent="0.2">
      <c r="A61" s="4"/>
      <c r="B61" s="4"/>
      <c r="C61" s="25"/>
      <c r="D61" s="25"/>
      <c r="E61" s="25"/>
      <c r="F61" s="25"/>
      <c r="G61" s="25"/>
      <c r="H61" s="25"/>
      <c r="I61" s="25"/>
      <c r="J61" s="25"/>
      <c r="K61" s="29"/>
      <c r="L61" s="25"/>
      <c r="M61" s="29"/>
      <c r="N61" s="29"/>
      <c r="O61" s="29"/>
    </row>
    <row r="62" spans="1:15" x14ac:dyDescent="0.2">
      <c r="A62" s="4"/>
      <c r="B62" s="4"/>
      <c r="C62" s="25"/>
      <c r="D62" s="25"/>
      <c r="E62" s="25"/>
      <c r="F62" s="25"/>
      <c r="G62" s="25"/>
      <c r="H62" s="25"/>
      <c r="I62" s="25"/>
      <c r="J62" s="25"/>
      <c r="K62" s="29"/>
      <c r="L62" s="25"/>
      <c r="M62" s="29"/>
      <c r="N62" s="29"/>
      <c r="O62" s="29"/>
    </row>
    <row r="63" spans="1:15" x14ac:dyDescent="0.2">
      <c r="A63" s="4"/>
      <c r="B63" s="4"/>
      <c r="C63" s="25"/>
      <c r="D63" s="25"/>
      <c r="E63" s="25"/>
      <c r="F63" s="25"/>
      <c r="G63" s="25"/>
      <c r="H63" s="25"/>
      <c r="I63" s="25"/>
      <c r="J63" s="25"/>
      <c r="K63" s="29"/>
      <c r="L63" s="25"/>
      <c r="M63" s="29"/>
      <c r="N63" s="29"/>
      <c r="O63" s="29"/>
    </row>
    <row r="64" spans="1:15" x14ac:dyDescent="0.2">
      <c r="A64" s="4"/>
      <c r="B64" s="4"/>
      <c r="C64" s="25"/>
      <c r="D64" s="25"/>
      <c r="E64" s="25"/>
      <c r="F64" s="25"/>
      <c r="G64" s="25"/>
      <c r="H64" s="25"/>
      <c r="I64" s="25"/>
      <c r="J64" s="25"/>
      <c r="K64" s="29"/>
      <c r="L64" s="25"/>
      <c r="M64" s="29"/>
      <c r="N64" s="29"/>
      <c r="O64" s="29"/>
    </row>
    <row r="65" spans="1:15" x14ac:dyDescent="0.2">
      <c r="A65" s="4"/>
      <c r="B65" s="4"/>
      <c r="C65" s="25"/>
      <c r="D65" s="25"/>
      <c r="E65" s="25"/>
      <c r="F65" s="25"/>
      <c r="G65" s="25"/>
      <c r="H65" s="25"/>
      <c r="I65" s="25"/>
      <c r="J65" s="25"/>
      <c r="K65" s="29"/>
      <c r="L65" s="25"/>
      <c r="M65" s="29"/>
      <c r="N65" s="29"/>
      <c r="O65" s="29"/>
    </row>
    <row r="66" spans="1:15" x14ac:dyDescent="0.2">
      <c r="A66" s="4"/>
      <c r="B66" s="4"/>
      <c r="C66" s="25"/>
      <c r="D66" s="25"/>
      <c r="E66" s="25"/>
      <c r="F66" s="25"/>
      <c r="G66" s="25"/>
      <c r="H66" s="25"/>
      <c r="I66" s="25"/>
      <c r="J66" s="25"/>
      <c r="K66" s="29"/>
      <c r="L66" s="25"/>
      <c r="M66" s="29"/>
      <c r="N66" s="29"/>
      <c r="O66" s="29"/>
    </row>
    <row r="67" spans="1:15" x14ac:dyDescent="0.2">
      <c r="A67" s="4"/>
      <c r="B67" s="4"/>
      <c r="C67" s="25"/>
      <c r="D67" s="25"/>
      <c r="E67" s="25"/>
      <c r="F67" s="25"/>
      <c r="G67" s="25"/>
      <c r="H67" s="25"/>
      <c r="I67" s="25"/>
      <c r="J67" s="25"/>
      <c r="K67" s="29"/>
      <c r="L67" s="25"/>
      <c r="M67" s="29"/>
      <c r="N67" s="29"/>
      <c r="O67" s="29"/>
    </row>
    <row r="68" spans="1:15" x14ac:dyDescent="0.2">
      <c r="A68" s="4"/>
      <c r="B68" s="4"/>
      <c r="C68" s="25"/>
      <c r="D68" s="25"/>
      <c r="E68" s="25"/>
      <c r="F68" s="25"/>
      <c r="G68" s="25"/>
      <c r="H68" s="25"/>
      <c r="I68" s="25"/>
      <c r="J68" s="25"/>
      <c r="K68" s="29"/>
      <c r="L68" s="25"/>
      <c r="M68" s="29"/>
      <c r="N68" s="29"/>
      <c r="O68" s="29"/>
    </row>
    <row r="69" spans="1:15" x14ac:dyDescent="0.2">
      <c r="A69" s="4"/>
      <c r="B69" s="4"/>
      <c r="C69" s="25"/>
      <c r="D69" s="25"/>
      <c r="E69" s="25"/>
      <c r="F69" s="25"/>
      <c r="G69" s="25"/>
      <c r="H69" s="25"/>
      <c r="I69" s="25"/>
      <c r="J69" s="25"/>
      <c r="K69" s="29"/>
      <c r="L69" s="25"/>
      <c r="M69" s="29"/>
      <c r="N69" s="29"/>
      <c r="O69" s="29"/>
    </row>
    <row r="70" spans="1:15" x14ac:dyDescent="0.2">
      <c r="A70" s="4"/>
      <c r="B70" s="4"/>
      <c r="C70" s="25"/>
      <c r="D70" s="25"/>
      <c r="E70" s="25"/>
      <c r="F70" s="25"/>
      <c r="G70" s="25"/>
      <c r="H70" s="25"/>
      <c r="I70" s="25"/>
      <c r="J70" s="25"/>
      <c r="K70" s="29"/>
      <c r="L70" s="25"/>
      <c r="M70" s="29"/>
      <c r="N70" s="29"/>
      <c r="O70" s="29"/>
    </row>
    <row r="71" spans="1:15" x14ac:dyDescent="0.2">
      <c r="A71" s="4"/>
      <c r="B71" s="4"/>
      <c r="C71" s="25"/>
      <c r="D71" s="25"/>
      <c r="E71" s="25"/>
      <c r="F71" s="25"/>
      <c r="G71" s="25"/>
      <c r="H71" s="25"/>
      <c r="I71" s="25"/>
      <c r="J71" s="25"/>
      <c r="K71" s="29"/>
      <c r="L71" s="25"/>
      <c r="M71" s="29"/>
      <c r="N71" s="29"/>
      <c r="O71" s="29"/>
    </row>
    <row r="72" spans="1:15" x14ac:dyDescent="0.2">
      <c r="A72" s="4"/>
      <c r="B72" s="4"/>
      <c r="C72" s="25"/>
      <c r="D72" s="25"/>
      <c r="E72" s="25"/>
      <c r="F72" s="25"/>
      <c r="G72" s="25"/>
      <c r="H72" s="25"/>
      <c r="I72" s="25"/>
      <c r="J72" s="25"/>
      <c r="K72" s="29"/>
      <c r="L72" s="25"/>
      <c r="M72" s="29"/>
      <c r="N72" s="29"/>
      <c r="O72" s="29"/>
    </row>
    <row r="73" spans="1:15" x14ac:dyDescent="0.2">
      <c r="A73" s="4"/>
      <c r="B73" s="4"/>
      <c r="C73" s="25"/>
      <c r="D73" s="25"/>
      <c r="E73" s="25"/>
      <c r="F73" s="25"/>
      <c r="G73" s="25"/>
      <c r="H73" s="25"/>
      <c r="I73" s="25"/>
      <c r="J73" s="25"/>
      <c r="K73" s="4"/>
      <c r="L73" s="25"/>
      <c r="M73" s="4"/>
      <c r="N73" s="4"/>
      <c r="O73" s="4"/>
    </row>
    <row r="74" spans="1:15" x14ac:dyDescent="0.2">
      <c r="A74" s="4"/>
      <c r="B74" s="4"/>
      <c r="C74" s="25"/>
      <c r="D74" s="25"/>
      <c r="E74" s="25"/>
      <c r="F74" s="25"/>
      <c r="G74" s="25"/>
      <c r="H74" s="25"/>
      <c r="I74" s="25"/>
      <c r="J74" s="25"/>
      <c r="K74" s="4"/>
      <c r="L74" s="25"/>
      <c r="M74" s="4"/>
      <c r="N74" s="4"/>
      <c r="O74" s="4"/>
    </row>
    <row r="75" spans="1:15" x14ac:dyDescent="0.2">
      <c r="A75" s="4"/>
      <c r="B75" s="4"/>
      <c r="C75" s="25"/>
      <c r="D75" s="25"/>
      <c r="E75" s="25"/>
      <c r="F75" s="25"/>
      <c r="G75" s="25"/>
      <c r="H75" s="25"/>
      <c r="I75" s="25"/>
      <c r="J75" s="25"/>
      <c r="K75" s="4"/>
      <c r="L75" s="25"/>
      <c r="M75" s="4"/>
      <c r="N75" s="4"/>
      <c r="O75" s="4"/>
    </row>
    <row r="76" spans="1:15" x14ac:dyDescent="0.2">
      <c r="A76" s="4"/>
      <c r="B76" s="4"/>
      <c r="C76" s="25"/>
      <c r="D76" s="25"/>
      <c r="E76" s="25"/>
      <c r="F76" s="25"/>
      <c r="G76" s="25"/>
      <c r="H76" s="25"/>
      <c r="I76" s="25"/>
      <c r="J76" s="25"/>
      <c r="K76" s="4"/>
      <c r="L76" s="25"/>
      <c r="M76" s="4"/>
      <c r="N76" s="4"/>
      <c r="O76" s="4"/>
    </row>
    <row r="77" spans="1:15" x14ac:dyDescent="0.2">
      <c r="A77" s="4"/>
      <c r="B77" s="4"/>
      <c r="C77" s="25"/>
      <c r="D77" s="25"/>
      <c r="E77" s="25"/>
      <c r="F77" s="25"/>
      <c r="G77" s="25"/>
      <c r="H77" s="25"/>
      <c r="I77" s="25"/>
      <c r="J77" s="25"/>
      <c r="K77" s="4"/>
      <c r="L77" s="25"/>
      <c r="M77" s="4"/>
      <c r="N77" s="4"/>
      <c r="O77" s="4"/>
    </row>
    <row r="78" spans="1:15" x14ac:dyDescent="0.2">
      <c r="A78" s="4"/>
      <c r="B78" s="4"/>
      <c r="C78" s="25"/>
      <c r="D78" s="25"/>
      <c r="E78" s="25"/>
      <c r="F78" s="25"/>
      <c r="G78" s="25"/>
      <c r="H78" s="25"/>
      <c r="I78" s="25"/>
      <c r="J78" s="25"/>
      <c r="K78" s="4"/>
      <c r="L78" s="25"/>
      <c r="M78" s="4"/>
      <c r="N78" s="4"/>
      <c r="O78" s="4"/>
    </row>
    <row r="79" spans="1:15" x14ac:dyDescent="0.2">
      <c r="A79" s="4"/>
      <c r="B79" s="4"/>
      <c r="C79" s="25"/>
      <c r="D79" s="25"/>
      <c r="E79" s="25"/>
      <c r="F79" s="25"/>
      <c r="G79" s="25"/>
      <c r="H79" s="25"/>
      <c r="I79" s="25"/>
      <c r="J79" s="25"/>
      <c r="K79" s="4"/>
      <c r="L79" s="25"/>
      <c r="M79" s="4"/>
      <c r="N79" s="4"/>
      <c r="O79" s="4"/>
    </row>
    <row r="80" spans="1:15" x14ac:dyDescent="0.2">
      <c r="A80" s="4"/>
      <c r="B80" s="4"/>
      <c r="C80" s="25"/>
      <c r="D80" s="25"/>
      <c r="E80" s="25"/>
      <c r="F80" s="25"/>
      <c r="G80" s="25"/>
      <c r="H80" s="25"/>
      <c r="I80" s="25"/>
      <c r="J80" s="25"/>
      <c r="K80" s="4"/>
      <c r="L80" s="25"/>
      <c r="M80" s="4"/>
      <c r="N80" s="4"/>
      <c r="O80" s="4"/>
    </row>
    <row r="81" spans="1:15" x14ac:dyDescent="0.2">
      <c r="A81" s="4"/>
      <c r="B81" s="4"/>
      <c r="C81" s="25"/>
      <c r="D81" s="25"/>
      <c r="E81" s="25"/>
      <c r="F81" s="25"/>
      <c r="G81" s="25"/>
      <c r="H81" s="25"/>
      <c r="I81" s="25"/>
      <c r="J81" s="25"/>
      <c r="K81" s="4"/>
      <c r="L81" s="25"/>
      <c r="M81" s="4"/>
      <c r="N81" s="4"/>
      <c r="O81" s="4"/>
    </row>
    <row r="82" spans="1:15" x14ac:dyDescent="0.2">
      <c r="A82" s="4"/>
      <c r="B82" s="4"/>
      <c r="C82" s="25"/>
      <c r="D82" s="25"/>
      <c r="E82" s="25"/>
      <c r="F82" s="25"/>
      <c r="G82" s="25"/>
      <c r="H82" s="25"/>
      <c r="I82" s="25"/>
      <c r="J82" s="25"/>
      <c r="K82" s="4"/>
      <c r="L82" s="25"/>
      <c r="M82" s="4"/>
      <c r="N82" s="4"/>
      <c r="O82" s="4"/>
    </row>
    <row r="83" spans="1:15" x14ac:dyDescent="0.2">
      <c r="A83" s="4"/>
      <c r="B83" s="4"/>
      <c r="C83" s="25"/>
      <c r="D83" s="25"/>
      <c r="E83" s="25"/>
      <c r="F83" s="25"/>
      <c r="G83" s="25"/>
      <c r="H83" s="25"/>
      <c r="I83" s="25"/>
      <c r="J83" s="25"/>
      <c r="K83" s="4"/>
      <c r="L83" s="25"/>
      <c r="M83" s="4"/>
      <c r="N83" s="4"/>
      <c r="O83" s="4"/>
    </row>
    <row r="84" spans="1:15" x14ac:dyDescent="0.2">
      <c r="A84" s="4"/>
      <c r="B84" s="4"/>
      <c r="C84" s="25"/>
      <c r="D84" s="25"/>
      <c r="E84" s="25"/>
      <c r="F84" s="25"/>
      <c r="G84" s="25"/>
      <c r="H84" s="25"/>
      <c r="I84" s="25"/>
      <c r="J84" s="25"/>
      <c r="K84" s="4"/>
      <c r="L84" s="25"/>
      <c r="M84" s="4"/>
      <c r="N84" s="4"/>
      <c r="O84" s="4"/>
    </row>
    <row r="85" spans="1:15" x14ac:dyDescent="0.2">
      <c r="A85" s="4"/>
      <c r="B85" s="4"/>
      <c r="C85" s="25"/>
      <c r="D85" s="25"/>
      <c r="E85" s="25"/>
      <c r="F85" s="25"/>
      <c r="G85" s="25"/>
      <c r="H85" s="25"/>
      <c r="I85" s="25"/>
      <c r="J85" s="25"/>
      <c r="K85" s="4"/>
      <c r="L85" s="25"/>
      <c r="M85" s="4"/>
      <c r="N85" s="4"/>
      <c r="O85" s="4"/>
    </row>
    <row r="86" spans="1:15" x14ac:dyDescent="0.2">
      <c r="A86" s="4"/>
      <c r="B86" s="4"/>
      <c r="C86" s="25"/>
      <c r="D86" s="25"/>
      <c r="E86" s="25"/>
      <c r="F86" s="25"/>
      <c r="G86" s="25"/>
      <c r="H86" s="25"/>
      <c r="I86" s="25"/>
      <c r="J86" s="25"/>
      <c r="K86" s="4"/>
      <c r="L86" s="25"/>
      <c r="M86" s="4"/>
      <c r="N86" s="4"/>
      <c r="O86" s="4"/>
    </row>
    <row r="87" spans="1:15" x14ac:dyDescent="0.2">
      <c r="A87" s="4"/>
      <c r="B87" s="4"/>
      <c r="C87" s="25"/>
      <c r="D87" s="25"/>
      <c r="E87" s="25"/>
      <c r="F87" s="25"/>
      <c r="G87" s="25"/>
      <c r="H87" s="25"/>
      <c r="I87" s="25"/>
      <c r="J87" s="25"/>
      <c r="K87" s="4"/>
      <c r="L87" s="25"/>
      <c r="M87" s="4"/>
      <c r="N87" s="4"/>
      <c r="O87" s="4"/>
    </row>
    <row r="88" spans="1:15" x14ac:dyDescent="0.2">
      <c r="A88" s="4"/>
      <c r="B88" s="4"/>
      <c r="C88" s="25"/>
      <c r="D88" s="25"/>
      <c r="E88" s="25"/>
      <c r="F88" s="25"/>
      <c r="G88" s="25"/>
      <c r="H88" s="25"/>
      <c r="I88" s="25"/>
      <c r="J88" s="25"/>
      <c r="K88" s="4"/>
      <c r="L88" s="25"/>
      <c r="M88" s="4"/>
      <c r="N88" s="4"/>
      <c r="O88" s="4"/>
    </row>
    <row r="89" spans="1:15" x14ac:dyDescent="0.2">
      <c r="A89" s="4"/>
      <c r="B89" s="4"/>
      <c r="C89" s="25"/>
      <c r="D89" s="25"/>
      <c r="E89" s="25"/>
      <c r="F89" s="25"/>
      <c r="G89" s="25"/>
      <c r="H89" s="25"/>
      <c r="I89" s="25"/>
      <c r="J89" s="25"/>
      <c r="K89" s="4"/>
      <c r="L89" s="25"/>
      <c r="M89" s="4"/>
      <c r="N89" s="4"/>
      <c r="O89" s="4"/>
    </row>
    <row r="90" spans="1:15" x14ac:dyDescent="0.2">
      <c r="A90" s="4"/>
      <c r="B90" s="4"/>
      <c r="C90" s="25"/>
      <c r="D90" s="25"/>
      <c r="E90" s="25"/>
      <c r="F90" s="25"/>
      <c r="G90" s="25"/>
      <c r="H90" s="25"/>
      <c r="I90" s="25"/>
      <c r="J90" s="25"/>
      <c r="K90" s="4"/>
      <c r="L90" s="25"/>
      <c r="M90" s="4"/>
      <c r="N90" s="4"/>
      <c r="O90" s="4"/>
    </row>
    <row r="91" spans="1:15" x14ac:dyDescent="0.2">
      <c r="A91" s="4"/>
      <c r="B91" s="4"/>
      <c r="C91" s="25"/>
      <c r="D91" s="25"/>
      <c r="E91" s="25"/>
      <c r="F91" s="25"/>
      <c r="G91" s="25"/>
      <c r="H91" s="25"/>
      <c r="I91" s="25"/>
      <c r="J91" s="25"/>
      <c r="K91" s="4"/>
      <c r="L91" s="25"/>
      <c r="M91" s="4"/>
      <c r="N91" s="4"/>
      <c r="O91" s="4"/>
    </row>
    <row r="92" spans="1:15" x14ac:dyDescent="0.2">
      <c r="A92" s="4"/>
      <c r="B92" s="4"/>
      <c r="C92" s="25"/>
      <c r="D92" s="25"/>
      <c r="E92" s="25"/>
      <c r="F92" s="25"/>
      <c r="G92" s="25"/>
      <c r="H92" s="25"/>
      <c r="I92" s="25"/>
      <c r="J92" s="25"/>
      <c r="K92" s="4"/>
      <c r="L92" s="25"/>
      <c r="M92" s="4"/>
      <c r="N92" s="4"/>
      <c r="O92" s="4"/>
    </row>
    <row r="93" spans="1:15" x14ac:dyDescent="0.2">
      <c r="A93" s="4"/>
      <c r="B93" s="4"/>
      <c r="C93" s="25"/>
      <c r="D93" s="25"/>
      <c r="E93" s="25"/>
      <c r="F93" s="25"/>
      <c r="G93" s="25"/>
      <c r="H93" s="25"/>
      <c r="I93" s="25"/>
      <c r="J93" s="25"/>
      <c r="K93" s="4"/>
      <c r="L93" s="25"/>
      <c r="M93" s="4"/>
      <c r="N93" s="4"/>
      <c r="O93" s="4"/>
    </row>
    <row r="94" spans="1:15" x14ac:dyDescent="0.2">
      <c r="A94" s="4"/>
      <c r="B94" s="4"/>
      <c r="C94" s="25"/>
      <c r="D94" s="25"/>
      <c r="E94" s="25"/>
      <c r="F94" s="25"/>
      <c r="G94" s="25"/>
      <c r="H94" s="25"/>
      <c r="I94" s="25"/>
      <c r="J94" s="25"/>
      <c r="K94" s="4"/>
      <c r="L94" s="25"/>
      <c r="M94" s="4"/>
      <c r="N94" s="4"/>
      <c r="O94" s="4"/>
    </row>
    <row r="95" spans="1:15" x14ac:dyDescent="0.2">
      <c r="A95" s="4"/>
      <c r="B95" s="4"/>
      <c r="C95" s="25"/>
      <c r="D95" s="25"/>
      <c r="E95" s="25"/>
      <c r="F95" s="25"/>
      <c r="G95" s="25"/>
      <c r="H95" s="25"/>
      <c r="I95" s="25"/>
      <c r="J95" s="25"/>
      <c r="K95" s="4"/>
      <c r="L95" s="25"/>
      <c r="M95" s="4"/>
      <c r="N95" s="4"/>
      <c r="O95" s="4"/>
    </row>
    <row r="96" spans="1:15" x14ac:dyDescent="0.2">
      <c r="A96" s="4"/>
      <c r="B96" s="4"/>
      <c r="C96" s="25"/>
      <c r="D96" s="25"/>
      <c r="E96" s="25"/>
      <c r="F96" s="25"/>
      <c r="G96" s="25"/>
      <c r="H96" s="25"/>
      <c r="I96" s="25"/>
      <c r="J96" s="25"/>
      <c r="K96" s="4"/>
      <c r="L96" s="25"/>
      <c r="M96" s="4"/>
      <c r="N96" s="4"/>
      <c r="O96" s="4"/>
    </row>
    <row r="97" spans="1:15" x14ac:dyDescent="0.2">
      <c r="A97" s="4"/>
      <c r="B97" s="4"/>
      <c r="C97" s="25"/>
      <c r="D97" s="25"/>
      <c r="E97" s="25"/>
      <c r="F97" s="25"/>
      <c r="G97" s="25"/>
      <c r="H97" s="25"/>
      <c r="I97" s="25"/>
      <c r="J97" s="25"/>
      <c r="K97" s="4"/>
      <c r="L97" s="25"/>
      <c r="M97" s="4"/>
      <c r="N97" s="4"/>
      <c r="O97" s="4"/>
    </row>
    <row r="98" spans="1:15" x14ac:dyDescent="0.2">
      <c r="A98" s="4"/>
      <c r="B98" s="4"/>
      <c r="C98" s="25"/>
      <c r="D98" s="25"/>
      <c r="E98" s="25"/>
      <c r="F98" s="25"/>
      <c r="G98" s="25"/>
      <c r="H98" s="25"/>
      <c r="I98" s="25"/>
      <c r="J98" s="25"/>
      <c r="K98" s="4"/>
      <c r="L98" s="25"/>
      <c r="M98" s="4"/>
      <c r="N98" s="4"/>
      <c r="O98" s="4"/>
    </row>
    <row r="99" spans="1:15" x14ac:dyDescent="0.2">
      <c r="A99" s="4"/>
      <c r="B99" s="4"/>
      <c r="C99" s="25"/>
      <c r="D99" s="25"/>
      <c r="E99" s="25"/>
      <c r="F99" s="25"/>
      <c r="G99" s="25"/>
      <c r="H99" s="25"/>
      <c r="I99" s="25"/>
      <c r="J99" s="25"/>
      <c r="K99" s="4"/>
      <c r="L99" s="25"/>
      <c r="M99" s="4"/>
      <c r="N99" s="4"/>
      <c r="O99" s="4"/>
    </row>
    <row r="100" spans="1:15" x14ac:dyDescent="0.2">
      <c r="A100" s="4"/>
      <c r="B100" s="4"/>
      <c r="C100" s="25"/>
      <c r="D100" s="25"/>
      <c r="E100" s="25"/>
      <c r="F100" s="25"/>
      <c r="G100" s="25"/>
      <c r="H100" s="25"/>
      <c r="I100" s="25"/>
      <c r="J100" s="25"/>
      <c r="K100" s="4"/>
      <c r="L100" s="25"/>
      <c r="M100" s="4"/>
      <c r="N100" s="4"/>
      <c r="O100" s="4"/>
    </row>
    <row r="101" spans="1:15" x14ac:dyDescent="0.2">
      <c r="A101" s="4"/>
      <c r="B101" s="4"/>
      <c r="C101" s="25"/>
      <c r="D101" s="25"/>
      <c r="E101" s="25"/>
      <c r="F101" s="25"/>
      <c r="G101" s="25"/>
      <c r="H101" s="25"/>
      <c r="I101" s="25"/>
      <c r="J101" s="25"/>
      <c r="K101" s="4"/>
      <c r="L101" s="25"/>
      <c r="M101" s="4"/>
      <c r="N101" s="4"/>
      <c r="O101" s="4"/>
    </row>
    <row r="102" spans="1:15" x14ac:dyDescent="0.2">
      <c r="A102" s="4"/>
      <c r="B102" s="4"/>
      <c r="C102" s="25"/>
      <c r="D102" s="25"/>
      <c r="E102" s="25"/>
      <c r="F102" s="25"/>
      <c r="G102" s="25"/>
      <c r="H102" s="25"/>
      <c r="I102" s="25"/>
      <c r="J102" s="25"/>
      <c r="K102" s="4"/>
      <c r="L102" s="25"/>
      <c r="M102" s="4"/>
      <c r="N102" s="4"/>
      <c r="O102" s="4"/>
    </row>
    <row r="103" spans="1:15" x14ac:dyDescent="0.2">
      <c r="A103" s="4"/>
      <c r="B103" s="4"/>
      <c r="C103" s="25"/>
      <c r="D103" s="25"/>
      <c r="E103" s="25"/>
      <c r="F103" s="25"/>
      <c r="G103" s="25"/>
      <c r="H103" s="25"/>
      <c r="I103" s="25"/>
      <c r="J103" s="25"/>
      <c r="K103" s="4"/>
      <c r="L103" s="25"/>
      <c r="M103" s="4"/>
      <c r="N103" s="4"/>
      <c r="O103" s="4"/>
    </row>
    <row r="104" spans="1:15" x14ac:dyDescent="0.2">
      <c r="A104" s="4"/>
      <c r="B104" s="4"/>
      <c r="C104" s="25"/>
      <c r="D104" s="25"/>
      <c r="E104" s="25"/>
      <c r="F104" s="25"/>
      <c r="G104" s="25"/>
      <c r="H104" s="25"/>
      <c r="I104" s="25"/>
      <c r="J104" s="25"/>
      <c r="K104" s="4"/>
      <c r="L104" s="25"/>
      <c r="M104" s="4"/>
      <c r="N104" s="4"/>
      <c r="O104" s="4"/>
    </row>
    <row r="105" spans="1:15" x14ac:dyDescent="0.2">
      <c r="A105" s="4"/>
      <c r="B105" s="4"/>
      <c r="C105" s="25"/>
      <c r="D105" s="25"/>
      <c r="E105" s="25"/>
      <c r="F105" s="25"/>
      <c r="G105" s="25"/>
      <c r="H105" s="25"/>
      <c r="I105" s="25"/>
      <c r="J105" s="25"/>
      <c r="K105" s="4"/>
      <c r="L105" s="25"/>
      <c r="M105" s="4"/>
      <c r="N105" s="4"/>
      <c r="O105" s="4"/>
    </row>
    <row r="106" spans="1:15" x14ac:dyDescent="0.2">
      <c r="A106" s="4"/>
      <c r="B106" s="4"/>
      <c r="C106" s="25"/>
      <c r="D106" s="25"/>
      <c r="E106" s="25"/>
      <c r="F106" s="25"/>
      <c r="G106" s="25"/>
      <c r="H106" s="25"/>
      <c r="I106" s="25"/>
      <c r="J106" s="25"/>
      <c r="K106" s="4"/>
      <c r="L106" s="25"/>
      <c r="M106" s="4"/>
      <c r="N106" s="4"/>
      <c r="O106" s="4"/>
    </row>
    <row r="107" spans="1:15" x14ac:dyDescent="0.2">
      <c r="A107" s="4"/>
      <c r="B107" s="4"/>
      <c r="C107" s="25"/>
      <c r="D107" s="25"/>
      <c r="E107" s="25"/>
      <c r="F107" s="25"/>
      <c r="G107" s="25"/>
      <c r="H107" s="25"/>
      <c r="I107" s="25"/>
      <c r="J107" s="25"/>
      <c r="K107" s="4"/>
      <c r="L107" s="25"/>
      <c r="M107" s="4"/>
      <c r="N107" s="4"/>
      <c r="O107" s="4"/>
    </row>
    <row r="108" spans="1:15" x14ac:dyDescent="0.2">
      <c r="A108" s="4"/>
      <c r="B108" s="4"/>
      <c r="C108" s="25"/>
      <c r="D108" s="25"/>
      <c r="E108" s="25"/>
      <c r="F108" s="25"/>
      <c r="G108" s="25"/>
      <c r="H108" s="25"/>
      <c r="I108" s="25"/>
      <c r="J108" s="25"/>
      <c r="K108" s="4"/>
      <c r="L108" s="25"/>
      <c r="M108" s="4"/>
      <c r="N108" s="4"/>
      <c r="O108" s="4"/>
    </row>
    <row r="109" spans="1:15" x14ac:dyDescent="0.2">
      <c r="A109" s="4"/>
      <c r="B109" s="4"/>
      <c r="C109" s="25"/>
      <c r="D109" s="25"/>
      <c r="E109" s="25"/>
      <c r="F109" s="25"/>
      <c r="G109" s="25"/>
      <c r="H109" s="25"/>
      <c r="I109" s="25"/>
      <c r="J109" s="25"/>
      <c r="K109" s="4"/>
      <c r="L109" s="25"/>
      <c r="M109" s="4"/>
      <c r="N109" s="4"/>
      <c r="O109" s="4"/>
    </row>
    <row r="110" spans="1:15" x14ac:dyDescent="0.2">
      <c r="A110" s="4"/>
      <c r="B110" s="4"/>
      <c r="C110" s="25"/>
      <c r="D110" s="25"/>
      <c r="E110" s="25"/>
      <c r="F110" s="25"/>
      <c r="G110" s="25"/>
      <c r="H110" s="25"/>
      <c r="I110" s="25"/>
      <c r="J110" s="25"/>
      <c r="K110" s="4"/>
      <c r="L110" s="25"/>
      <c r="M110" s="4"/>
      <c r="N110" s="4"/>
      <c r="O110" s="4"/>
    </row>
    <row r="111" spans="1:15" x14ac:dyDescent="0.2">
      <c r="A111" s="4"/>
      <c r="B111" s="4"/>
      <c r="C111" s="25"/>
      <c r="D111" s="25"/>
      <c r="E111" s="25"/>
      <c r="F111" s="25"/>
      <c r="G111" s="25"/>
      <c r="H111" s="25"/>
      <c r="I111" s="25"/>
      <c r="J111" s="25"/>
      <c r="K111" s="4"/>
      <c r="L111" s="25"/>
      <c r="M111" s="4"/>
      <c r="N111" s="4"/>
      <c r="O111" s="4"/>
    </row>
    <row r="112" spans="1:15" x14ac:dyDescent="0.2">
      <c r="A112" s="4"/>
      <c r="B112" s="4"/>
      <c r="C112" s="25"/>
      <c r="D112" s="25"/>
      <c r="E112" s="25"/>
      <c r="F112" s="25"/>
      <c r="G112" s="25"/>
      <c r="H112" s="25"/>
      <c r="I112" s="25"/>
      <c r="J112" s="25"/>
      <c r="K112" s="4"/>
      <c r="L112" s="25"/>
      <c r="M112" s="4"/>
      <c r="N112" s="4"/>
      <c r="O112" s="4"/>
    </row>
    <row r="113" spans="1:15" x14ac:dyDescent="0.2">
      <c r="A113" s="4"/>
      <c r="B113" s="4"/>
      <c r="C113" s="25"/>
      <c r="D113" s="25"/>
      <c r="E113" s="25"/>
      <c r="F113" s="25"/>
      <c r="G113" s="25"/>
      <c r="H113" s="25"/>
      <c r="I113" s="25"/>
      <c r="J113" s="25"/>
      <c r="K113" s="4"/>
      <c r="L113" s="25"/>
      <c r="M113" s="4"/>
      <c r="N113" s="4"/>
      <c r="O113" s="4"/>
    </row>
    <row r="114" spans="1:15" x14ac:dyDescent="0.2">
      <c r="A114" s="4"/>
      <c r="B114" s="4"/>
      <c r="C114" s="25"/>
      <c r="D114" s="25"/>
      <c r="E114" s="25"/>
      <c r="F114" s="25"/>
      <c r="G114" s="25"/>
      <c r="H114" s="25"/>
      <c r="I114" s="25"/>
      <c r="J114" s="25"/>
      <c r="K114" s="4"/>
      <c r="L114" s="25"/>
      <c r="M114" s="4"/>
      <c r="N114" s="4"/>
      <c r="O114" s="4"/>
    </row>
    <row r="115" spans="1:15" x14ac:dyDescent="0.2">
      <c r="A115" s="4"/>
      <c r="B115" s="4"/>
      <c r="C115" s="25"/>
      <c r="D115" s="25"/>
      <c r="E115" s="25"/>
      <c r="F115" s="25"/>
      <c r="G115" s="25"/>
      <c r="H115" s="25"/>
      <c r="I115" s="25"/>
      <c r="J115" s="25"/>
      <c r="K115" s="4"/>
      <c r="L115" s="25"/>
      <c r="M115" s="4"/>
      <c r="N115" s="4"/>
      <c r="O115" s="4"/>
    </row>
    <row r="116" spans="1:15" x14ac:dyDescent="0.2">
      <c r="A116" s="4"/>
      <c r="B116" s="4"/>
      <c r="C116" s="25"/>
      <c r="D116" s="25"/>
      <c r="E116" s="25"/>
      <c r="F116" s="25"/>
      <c r="G116" s="25"/>
      <c r="H116" s="25"/>
      <c r="I116" s="25"/>
      <c r="J116" s="25"/>
      <c r="K116" s="4"/>
      <c r="L116" s="25"/>
      <c r="M116" s="4"/>
      <c r="N116" s="4"/>
      <c r="O116" s="4"/>
    </row>
    <row r="117" spans="1:15" x14ac:dyDescent="0.2">
      <c r="A117" s="4"/>
      <c r="B117" s="4"/>
      <c r="C117" s="25"/>
      <c r="D117" s="25"/>
      <c r="E117" s="25"/>
      <c r="F117" s="25"/>
      <c r="G117" s="25"/>
      <c r="H117" s="25"/>
      <c r="I117" s="25"/>
      <c r="J117" s="25"/>
      <c r="K117" s="4"/>
      <c r="L117" s="25"/>
      <c r="M117" s="4"/>
      <c r="N117" s="4"/>
      <c r="O117" s="4"/>
    </row>
    <row r="118" spans="1:15" x14ac:dyDescent="0.2">
      <c r="A118" s="4"/>
      <c r="B118" s="4"/>
      <c r="C118" s="25"/>
      <c r="D118" s="25"/>
      <c r="E118" s="25"/>
      <c r="F118" s="25"/>
      <c r="G118" s="25"/>
      <c r="H118" s="25"/>
      <c r="I118" s="25"/>
      <c r="J118" s="25"/>
      <c r="K118" s="4"/>
      <c r="L118" s="25"/>
      <c r="M118" s="4"/>
      <c r="N118" s="4"/>
      <c r="O118" s="4"/>
    </row>
    <row r="119" spans="1:15" x14ac:dyDescent="0.2">
      <c r="A119" s="4"/>
      <c r="B119" s="4"/>
      <c r="C119" s="25"/>
      <c r="D119" s="25"/>
      <c r="E119" s="25"/>
      <c r="F119" s="25"/>
      <c r="G119" s="25"/>
      <c r="H119" s="25"/>
      <c r="I119" s="25"/>
      <c r="J119" s="25"/>
      <c r="K119" s="4"/>
      <c r="L119" s="25"/>
      <c r="M119" s="4"/>
      <c r="N119" s="4"/>
      <c r="O119" s="4"/>
    </row>
    <row r="120" spans="1:15" x14ac:dyDescent="0.2">
      <c r="A120" s="4"/>
      <c r="B120" s="4"/>
      <c r="C120" s="25"/>
      <c r="D120" s="25"/>
      <c r="E120" s="25"/>
      <c r="F120" s="25"/>
      <c r="G120" s="25"/>
      <c r="H120" s="25"/>
      <c r="I120" s="25"/>
      <c r="J120" s="25"/>
      <c r="K120" s="4"/>
      <c r="L120" s="25"/>
      <c r="M120" s="4"/>
      <c r="N120" s="4"/>
      <c r="O120" s="4"/>
    </row>
    <row r="121" spans="1:15" x14ac:dyDescent="0.2">
      <c r="A121" s="4"/>
      <c r="B121" s="4"/>
      <c r="C121" s="25"/>
      <c r="D121" s="25"/>
      <c r="E121" s="25"/>
      <c r="F121" s="25"/>
      <c r="G121" s="25"/>
      <c r="H121" s="25"/>
      <c r="I121" s="25"/>
      <c r="J121" s="25"/>
      <c r="K121" s="4"/>
      <c r="L121" s="25"/>
      <c r="M121" s="4"/>
      <c r="N121" s="4"/>
      <c r="O121" s="4"/>
    </row>
    <row r="122" spans="1:15" x14ac:dyDescent="0.2">
      <c r="A122" s="4"/>
      <c r="B122" s="4"/>
      <c r="C122" s="25"/>
      <c r="D122" s="25"/>
      <c r="E122" s="25"/>
      <c r="F122" s="25"/>
      <c r="G122" s="25"/>
      <c r="H122" s="25"/>
      <c r="I122" s="25"/>
      <c r="J122" s="25"/>
      <c r="K122" s="4"/>
      <c r="L122" s="25"/>
      <c r="M122" s="4"/>
      <c r="N122" s="4"/>
      <c r="O122" s="4"/>
    </row>
    <row r="123" spans="1:15" x14ac:dyDescent="0.2">
      <c r="A123" s="4"/>
      <c r="B123" s="4"/>
      <c r="C123" s="25"/>
      <c r="D123" s="25"/>
      <c r="E123" s="25"/>
      <c r="F123" s="25"/>
      <c r="G123" s="25"/>
      <c r="H123" s="25"/>
      <c r="I123" s="25"/>
      <c r="J123" s="25"/>
      <c r="K123" s="4"/>
      <c r="L123" s="25"/>
      <c r="M123" s="4"/>
      <c r="N123" s="4"/>
      <c r="O123" s="4"/>
    </row>
    <row r="124" spans="1:15" x14ac:dyDescent="0.2">
      <c r="A124" s="4"/>
      <c r="B124" s="4"/>
      <c r="C124" s="25"/>
      <c r="D124" s="25"/>
      <c r="E124" s="25"/>
      <c r="F124" s="25"/>
      <c r="G124" s="25"/>
      <c r="H124" s="25"/>
      <c r="I124" s="25"/>
      <c r="J124" s="25"/>
      <c r="K124" s="4"/>
      <c r="L124" s="25"/>
      <c r="M124" s="4"/>
      <c r="N124" s="4"/>
      <c r="O124" s="4"/>
    </row>
    <row r="125" spans="1:15" x14ac:dyDescent="0.2">
      <c r="A125" s="4"/>
      <c r="B125" s="4"/>
      <c r="C125" s="25"/>
      <c r="D125" s="25"/>
      <c r="E125" s="25"/>
      <c r="F125" s="25"/>
      <c r="G125" s="25"/>
      <c r="H125" s="25"/>
      <c r="I125" s="25"/>
      <c r="J125" s="25"/>
      <c r="K125" s="4"/>
      <c r="L125" s="25"/>
      <c r="M125" s="4"/>
      <c r="N125" s="4"/>
      <c r="O125" s="4"/>
    </row>
    <row r="126" spans="1:15" x14ac:dyDescent="0.2">
      <c r="A126" s="4"/>
      <c r="B126" s="4"/>
      <c r="C126" s="25"/>
      <c r="D126" s="25"/>
      <c r="E126" s="25"/>
      <c r="F126" s="25"/>
      <c r="G126" s="25"/>
      <c r="H126" s="25"/>
      <c r="I126" s="25"/>
      <c r="J126" s="25"/>
      <c r="K126" s="4"/>
      <c r="L126" s="25"/>
      <c r="M126" s="4"/>
      <c r="N126" s="4"/>
      <c r="O126" s="4"/>
    </row>
    <row r="127" spans="1:15" x14ac:dyDescent="0.2">
      <c r="A127" s="4"/>
      <c r="B127" s="4"/>
      <c r="C127" s="25"/>
      <c r="D127" s="25"/>
      <c r="E127" s="25"/>
      <c r="F127" s="25"/>
      <c r="G127" s="25"/>
      <c r="H127" s="25"/>
      <c r="I127" s="25"/>
      <c r="J127" s="25"/>
      <c r="K127" s="4"/>
      <c r="L127" s="25"/>
      <c r="M127" s="4"/>
      <c r="N127" s="4"/>
      <c r="O127" s="4"/>
    </row>
    <row r="128" spans="1:15" x14ac:dyDescent="0.2">
      <c r="A128" s="4"/>
      <c r="B128" s="4"/>
      <c r="C128" s="25"/>
      <c r="D128" s="25"/>
      <c r="E128" s="25"/>
      <c r="F128" s="25"/>
      <c r="G128" s="25"/>
      <c r="H128" s="25"/>
      <c r="I128" s="25"/>
      <c r="J128" s="25"/>
      <c r="K128" s="4"/>
      <c r="L128" s="25"/>
      <c r="M128" s="4"/>
      <c r="N128" s="4"/>
      <c r="O128" s="4"/>
    </row>
    <row r="129" spans="1:15" x14ac:dyDescent="0.2">
      <c r="A129" s="4"/>
      <c r="B129" s="4"/>
      <c r="C129" s="25"/>
      <c r="D129" s="25"/>
      <c r="E129" s="25"/>
      <c r="F129" s="25"/>
      <c r="G129" s="25"/>
      <c r="H129" s="25"/>
      <c r="I129" s="25"/>
      <c r="J129" s="25"/>
      <c r="K129" s="4"/>
      <c r="L129" s="25"/>
      <c r="M129" s="4"/>
      <c r="N129" s="4"/>
      <c r="O129" s="4"/>
    </row>
    <row r="130" spans="1:15" x14ac:dyDescent="0.2">
      <c r="A130" s="4"/>
      <c r="B130" s="4"/>
      <c r="C130" s="25"/>
      <c r="D130" s="25"/>
      <c r="E130" s="25"/>
      <c r="F130" s="25"/>
      <c r="G130" s="25"/>
      <c r="H130" s="25"/>
      <c r="I130" s="25"/>
      <c r="J130" s="25"/>
      <c r="K130" s="4"/>
      <c r="L130" s="25"/>
      <c r="M130" s="4"/>
      <c r="N130" s="4"/>
      <c r="O130" s="4"/>
    </row>
    <row r="131" spans="1:15" x14ac:dyDescent="0.2">
      <c r="A131" s="4"/>
      <c r="B131" s="4"/>
      <c r="C131" s="25"/>
      <c r="D131" s="25"/>
      <c r="E131" s="25"/>
      <c r="F131" s="25"/>
      <c r="G131" s="25"/>
      <c r="H131" s="25"/>
      <c r="I131" s="25"/>
      <c r="J131" s="25"/>
      <c r="K131" s="4"/>
      <c r="L131" s="25"/>
      <c r="M131" s="4"/>
      <c r="N131" s="4"/>
      <c r="O131" s="4"/>
    </row>
    <row r="132" spans="1:15" x14ac:dyDescent="0.2">
      <c r="A132" s="4"/>
      <c r="B132" s="4"/>
      <c r="C132" s="25"/>
      <c r="D132" s="25"/>
      <c r="E132" s="25"/>
      <c r="F132" s="25"/>
      <c r="G132" s="25"/>
      <c r="H132" s="25"/>
      <c r="I132" s="25"/>
      <c r="J132" s="25"/>
      <c r="K132" s="4"/>
      <c r="L132" s="25"/>
      <c r="M132" s="4"/>
      <c r="N132" s="4"/>
      <c r="O132" s="4"/>
    </row>
    <row r="133" spans="1:15" x14ac:dyDescent="0.2">
      <c r="A133" s="4"/>
      <c r="B133" s="4"/>
      <c r="C133" s="25"/>
      <c r="D133" s="25"/>
      <c r="E133" s="25"/>
      <c r="F133" s="25"/>
      <c r="G133" s="25"/>
      <c r="H133" s="25"/>
      <c r="I133" s="25"/>
      <c r="J133" s="25"/>
      <c r="K133" s="4"/>
      <c r="L133" s="25"/>
      <c r="M133" s="4"/>
      <c r="N133" s="4"/>
      <c r="O133" s="4"/>
    </row>
    <row r="134" spans="1:15" x14ac:dyDescent="0.2">
      <c r="A134" s="4"/>
      <c r="B134" s="4"/>
      <c r="C134" s="25"/>
      <c r="D134" s="25"/>
      <c r="E134" s="25"/>
      <c r="F134" s="25"/>
      <c r="G134" s="25"/>
      <c r="H134" s="25"/>
      <c r="I134" s="25"/>
      <c r="J134" s="25"/>
      <c r="K134" s="4"/>
      <c r="L134" s="25"/>
      <c r="M134" s="4"/>
      <c r="N134" s="4"/>
      <c r="O134" s="4"/>
    </row>
    <row r="135" spans="1:15" x14ac:dyDescent="0.2">
      <c r="A135" s="4"/>
      <c r="B135" s="4"/>
      <c r="C135" s="25"/>
      <c r="D135" s="25"/>
      <c r="E135" s="25"/>
      <c r="F135" s="25"/>
      <c r="G135" s="25"/>
      <c r="H135" s="25"/>
      <c r="I135" s="25"/>
      <c r="J135" s="25"/>
      <c r="K135" s="4"/>
      <c r="L135" s="25"/>
      <c r="M135" s="4"/>
      <c r="N135" s="4"/>
      <c r="O135" s="4"/>
    </row>
    <row r="136" spans="1:15" x14ac:dyDescent="0.2">
      <c r="A136" s="4"/>
      <c r="B136" s="4"/>
      <c r="C136" s="25"/>
      <c r="D136" s="25"/>
      <c r="E136" s="25"/>
      <c r="F136" s="25"/>
      <c r="G136" s="25"/>
      <c r="H136" s="25"/>
      <c r="I136" s="25"/>
      <c r="J136" s="25"/>
      <c r="K136" s="4"/>
      <c r="L136" s="25"/>
      <c r="M136" s="4"/>
      <c r="N136" s="4"/>
      <c r="O136" s="4"/>
    </row>
    <row r="137" spans="1:15" x14ac:dyDescent="0.2">
      <c r="A137" s="4"/>
      <c r="B137" s="4"/>
      <c r="C137" s="25"/>
      <c r="D137" s="25"/>
      <c r="E137" s="25"/>
      <c r="F137" s="25"/>
      <c r="G137" s="25"/>
      <c r="H137" s="25"/>
      <c r="I137" s="25"/>
      <c r="J137" s="25"/>
      <c r="K137" s="4"/>
      <c r="L137" s="25"/>
      <c r="M137" s="4"/>
      <c r="N137" s="4"/>
      <c r="O137" s="4"/>
    </row>
    <row r="138" spans="1:15" x14ac:dyDescent="0.2">
      <c r="A138" s="4"/>
      <c r="B138" s="4"/>
      <c r="C138" s="25"/>
      <c r="D138" s="25"/>
      <c r="E138" s="25"/>
      <c r="F138" s="25"/>
      <c r="G138" s="25"/>
      <c r="H138" s="25"/>
      <c r="I138" s="25"/>
      <c r="J138" s="25"/>
      <c r="K138" s="4"/>
      <c r="L138" s="25"/>
      <c r="M138" s="4"/>
      <c r="N138" s="4"/>
      <c r="O138" s="4"/>
    </row>
    <row r="139" spans="1:15" x14ac:dyDescent="0.2">
      <c r="A139" s="4"/>
      <c r="B139" s="4"/>
      <c r="C139" s="25"/>
      <c r="D139" s="25"/>
      <c r="E139" s="25"/>
      <c r="F139" s="25"/>
      <c r="G139" s="25"/>
      <c r="H139" s="25"/>
      <c r="I139" s="25"/>
      <c r="J139" s="25"/>
      <c r="K139" s="4"/>
      <c r="L139" s="25"/>
      <c r="M139" s="4"/>
      <c r="N139" s="4"/>
      <c r="O139" s="4"/>
    </row>
    <row r="140" spans="1:15" x14ac:dyDescent="0.2">
      <c r="A140" s="4"/>
      <c r="B140" s="4"/>
      <c r="C140" s="25"/>
      <c r="D140" s="25"/>
      <c r="E140" s="25"/>
      <c r="F140" s="25"/>
      <c r="G140" s="25"/>
      <c r="H140" s="25"/>
      <c r="I140" s="25"/>
      <c r="J140" s="25"/>
      <c r="K140" s="4"/>
      <c r="L140" s="25"/>
      <c r="M140" s="4"/>
      <c r="N140" s="4"/>
      <c r="O140" s="4"/>
    </row>
    <row r="141" spans="1:15" x14ac:dyDescent="0.2">
      <c r="A141" s="4"/>
      <c r="B141" s="4"/>
      <c r="C141" s="25"/>
      <c r="D141" s="25"/>
      <c r="E141" s="25"/>
      <c r="F141" s="25"/>
      <c r="G141" s="25"/>
      <c r="H141" s="25"/>
      <c r="I141" s="25"/>
      <c r="J141" s="25"/>
      <c r="K141" s="4"/>
      <c r="L141" s="25"/>
      <c r="M141" s="4"/>
      <c r="N141" s="4"/>
      <c r="O141" s="4"/>
    </row>
    <row r="142" spans="1:15" x14ac:dyDescent="0.2">
      <c r="A142" s="4"/>
      <c r="B142" s="4"/>
      <c r="C142" s="25"/>
      <c r="D142" s="25"/>
      <c r="E142" s="25"/>
      <c r="F142" s="25"/>
      <c r="G142" s="25"/>
      <c r="H142" s="25"/>
      <c r="I142" s="25"/>
      <c r="J142" s="25"/>
      <c r="K142" s="4"/>
      <c r="L142" s="25"/>
      <c r="M142" s="4"/>
      <c r="N142" s="4"/>
      <c r="O142" s="4"/>
    </row>
    <row r="143" spans="1:15" x14ac:dyDescent="0.2">
      <c r="A143" s="4"/>
      <c r="B143" s="4"/>
      <c r="C143" s="25"/>
      <c r="D143" s="25"/>
      <c r="E143" s="25"/>
      <c r="F143" s="25"/>
      <c r="G143" s="25"/>
      <c r="H143" s="25"/>
      <c r="I143" s="25"/>
      <c r="J143" s="25"/>
      <c r="K143" s="4"/>
      <c r="L143" s="25"/>
      <c r="M143" s="4"/>
      <c r="N143" s="4"/>
      <c r="O143" s="4"/>
    </row>
    <row r="144" spans="1:15" x14ac:dyDescent="0.2">
      <c r="A144" s="4"/>
      <c r="B144" s="4"/>
      <c r="C144" s="25"/>
      <c r="D144" s="25"/>
      <c r="E144" s="25"/>
      <c r="F144" s="25"/>
      <c r="G144" s="25"/>
      <c r="H144" s="25"/>
      <c r="I144" s="25"/>
      <c r="J144" s="25"/>
      <c r="K144" s="4"/>
      <c r="L144" s="25"/>
      <c r="M144" s="4"/>
      <c r="N144" s="4"/>
      <c r="O144" s="4"/>
    </row>
    <row r="145" spans="1:15" x14ac:dyDescent="0.2">
      <c r="A145" s="4"/>
      <c r="B145" s="4"/>
      <c r="C145" s="25"/>
      <c r="D145" s="25"/>
      <c r="E145" s="25"/>
      <c r="F145" s="25"/>
      <c r="G145" s="25"/>
      <c r="H145" s="25"/>
      <c r="I145" s="25"/>
      <c r="J145" s="25"/>
      <c r="K145" s="4"/>
      <c r="L145" s="25"/>
      <c r="M145" s="4"/>
      <c r="N145" s="4"/>
      <c r="O145" s="4"/>
    </row>
    <row r="146" spans="1:15" x14ac:dyDescent="0.2">
      <c r="C146" s="121"/>
    </row>
    <row r="147" spans="1:15" x14ac:dyDescent="0.2">
      <c r="C147" s="121"/>
    </row>
    <row r="148" spans="1:15" x14ac:dyDescent="0.2">
      <c r="C148" s="121"/>
    </row>
    <row r="149" spans="1:15" x14ac:dyDescent="0.2">
      <c r="C149" s="121"/>
    </row>
    <row r="150" spans="1:15" x14ac:dyDescent="0.2">
      <c r="C150" s="121"/>
    </row>
    <row r="151" spans="1:15" x14ac:dyDescent="0.2">
      <c r="C151" s="121"/>
    </row>
    <row r="152" spans="1:15" x14ac:dyDescent="0.2">
      <c r="C152" s="121"/>
    </row>
    <row r="153" spans="1:15" x14ac:dyDescent="0.2">
      <c r="C153" s="121"/>
    </row>
    <row r="154" spans="1:15" x14ac:dyDescent="0.2">
      <c r="C154" s="121"/>
    </row>
    <row r="155" spans="1:15" x14ac:dyDescent="0.2">
      <c r="C155" s="121"/>
    </row>
    <row r="156" spans="1:15" x14ac:dyDescent="0.2">
      <c r="C156" s="121"/>
    </row>
    <row r="157" spans="1:15" x14ac:dyDescent="0.2">
      <c r="C157" s="121"/>
    </row>
    <row r="158" spans="1:15" x14ac:dyDescent="0.2">
      <c r="C158" s="121"/>
    </row>
    <row r="159" spans="1:15" x14ac:dyDescent="0.2">
      <c r="C159" s="121"/>
    </row>
    <row r="160" spans="1:15" x14ac:dyDescent="0.2">
      <c r="C160" s="121"/>
    </row>
    <row r="161" spans="3:3" x14ac:dyDescent="0.2">
      <c r="C161" s="121"/>
    </row>
    <row r="162" spans="3:3" x14ac:dyDescent="0.2">
      <c r="C162" s="121"/>
    </row>
    <row r="163" spans="3:3" x14ac:dyDescent="0.2">
      <c r="C163" s="121"/>
    </row>
    <row r="164" spans="3:3" x14ac:dyDescent="0.2">
      <c r="C164" s="121"/>
    </row>
    <row r="165" spans="3:3" x14ac:dyDescent="0.2">
      <c r="C165" s="121"/>
    </row>
    <row r="166" spans="3:3" x14ac:dyDescent="0.2">
      <c r="C166" s="121"/>
    </row>
    <row r="167" spans="3:3" x14ac:dyDescent="0.2">
      <c r="C167" s="121"/>
    </row>
    <row r="168" spans="3:3" x14ac:dyDescent="0.2">
      <c r="C168" s="121"/>
    </row>
    <row r="169" spans="3:3" x14ac:dyDescent="0.2">
      <c r="C169" s="121"/>
    </row>
    <row r="170" spans="3:3" x14ac:dyDescent="0.2">
      <c r="C170" s="121"/>
    </row>
    <row r="171" spans="3:3" x14ac:dyDescent="0.2">
      <c r="C171" s="121"/>
    </row>
    <row r="172" spans="3:3" x14ac:dyDescent="0.2">
      <c r="C172" s="121"/>
    </row>
    <row r="173" spans="3:3" x14ac:dyDescent="0.2">
      <c r="C173" s="121"/>
    </row>
    <row r="174" spans="3:3" x14ac:dyDescent="0.2">
      <c r="C174" s="121"/>
    </row>
    <row r="175" spans="3:3" x14ac:dyDescent="0.2">
      <c r="C175" s="121"/>
    </row>
    <row r="176" spans="3:3" x14ac:dyDescent="0.2">
      <c r="C176" s="121"/>
    </row>
    <row r="177" spans="3:3" x14ac:dyDescent="0.2">
      <c r="C177" s="121"/>
    </row>
    <row r="178" spans="3:3" x14ac:dyDescent="0.2">
      <c r="C178" s="121"/>
    </row>
    <row r="179" spans="3:3" x14ac:dyDescent="0.2">
      <c r="C179" s="121"/>
    </row>
    <row r="180" spans="3:3" x14ac:dyDescent="0.2">
      <c r="C180" s="121"/>
    </row>
    <row r="181" spans="3:3" x14ac:dyDescent="0.2">
      <c r="C181" s="121"/>
    </row>
    <row r="182" spans="3:3" x14ac:dyDescent="0.2">
      <c r="C182" s="121"/>
    </row>
    <row r="183" spans="3:3" x14ac:dyDescent="0.2">
      <c r="C183" s="121"/>
    </row>
    <row r="184" spans="3:3" x14ac:dyDescent="0.2">
      <c r="C184" s="121"/>
    </row>
    <row r="185" spans="3:3" x14ac:dyDescent="0.2">
      <c r="C185" s="121"/>
    </row>
    <row r="186" spans="3:3" x14ac:dyDescent="0.2">
      <c r="C186" s="121"/>
    </row>
    <row r="187" spans="3:3" x14ac:dyDescent="0.2">
      <c r="C187" s="121"/>
    </row>
    <row r="188" spans="3:3" x14ac:dyDescent="0.2">
      <c r="C188" s="121"/>
    </row>
    <row r="189" spans="3:3" x14ac:dyDescent="0.2">
      <c r="C189" s="121"/>
    </row>
    <row r="190" spans="3:3" x14ac:dyDescent="0.2">
      <c r="C190" s="121"/>
    </row>
    <row r="191" spans="3:3" x14ac:dyDescent="0.2">
      <c r="C191" s="121"/>
    </row>
    <row r="192" spans="3:3" x14ac:dyDescent="0.2">
      <c r="C192" s="121"/>
    </row>
  </sheetData>
  <phoneticPr fontId="0" type="noConversion"/>
  <hyperlinks>
    <hyperlink ref="A1" location="'Working Budget with funding det'!A1" display="Main "/>
    <hyperlink ref="B1" location="'Table of Contents'!A1" display="TOC"/>
  </hyperlinks>
  <pageMargins left="0.75" right="0.75" top="1" bottom="1" header="0.5" footer="0.5"/>
  <pageSetup orientation="landscape" horizontalDpi="300" verticalDpi="300" r:id="rId1"/>
  <headerFooter alignWithMargins="0">
    <oddFooter>&amp;L&amp;D     &amp;T&amp;C&amp;F&amp;R&amp;A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71</vt:i4>
      </vt:variant>
    </vt:vector>
  </HeadingPairs>
  <TitlesOfParts>
    <vt:vector size="134" baseType="lpstr">
      <vt:lpstr>Table of Contents</vt:lpstr>
      <vt:lpstr>Revenue Projections Detail</vt:lpstr>
      <vt:lpstr>Affordable Assessment</vt:lpstr>
      <vt:lpstr>Financial Policy Numbers</vt:lpstr>
      <vt:lpstr>Working Budget with funding det</vt:lpstr>
      <vt:lpstr>113 Town Mtg</vt:lpstr>
      <vt:lpstr>122 Selectboard</vt:lpstr>
      <vt:lpstr>131 Fin Comm</vt:lpstr>
      <vt:lpstr>132 Reserve Fund</vt:lpstr>
      <vt:lpstr>135 Acct</vt:lpstr>
      <vt:lpstr>141 BOA</vt:lpstr>
      <vt:lpstr>145 Treas</vt:lpstr>
      <vt:lpstr>151 Counsel</vt:lpstr>
      <vt:lpstr>155 IT</vt:lpstr>
      <vt:lpstr>159 Shared Costs</vt:lpstr>
      <vt:lpstr>161 Clerk</vt:lpstr>
      <vt:lpstr>175 Planning</vt:lpstr>
      <vt:lpstr>176 ZBA</vt:lpstr>
      <vt:lpstr>182 MEDIC</vt:lpstr>
      <vt:lpstr>190 Publ Bldg Utilities</vt:lpstr>
      <vt:lpstr>211 Police</vt:lpstr>
      <vt:lpstr>212 Dispatch</vt:lpstr>
      <vt:lpstr>241 Bldg</vt:lpstr>
      <vt:lpstr>244 Sealer</vt:lpstr>
      <vt:lpstr>291 Emergency</vt:lpstr>
      <vt:lpstr>292 Animal</vt:lpstr>
      <vt:lpstr>294 Forest Warden</vt:lpstr>
      <vt:lpstr>299 Tree Warden</vt:lpstr>
      <vt:lpstr>300 Schools</vt:lpstr>
      <vt:lpstr>420 DPW</vt:lpstr>
      <vt:lpstr>192 Public Bldgs</vt:lpstr>
      <vt:lpstr>422 Maintenance</vt:lpstr>
      <vt:lpstr>652 Parks</vt:lpstr>
      <vt:lpstr>423 Snow</vt:lpstr>
      <vt:lpstr>433 Solid Waste</vt:lpstr>
      <vt:lpstr>480 Charging Stations</vt:lpstr>
      <vt:lpstr>491 Cemetery</vt:lpstr>
      <vt:lpstr>511 BOH</vt:lpstr>
      <vt:lpstr>541 COA</vt:lpstr>
      <vt:lpstr>543 Vets</vt:lpstr>
      <vt:lpstr>610 Library</vt:lpstr>
      <vt:lpstr>630 Recreation</vt:lpstr>
      <vt:lpstr>691 Historical Comm</vt:lpstr>
      <vt:lpstr>693 Memorials</vt:lpstr>
      <vt:lpstr>700 Debt </vt:lpstr>
      <vt:lpstr>840 Intergovt</vt:lpstr>
      <vt:lpstr>910 Benefits</vt:lpstr>
      <vt:lpstr>946 Insurance</vt:lpstr>
      <vt:lpstr>Colle 228 183</vt:lpstr>
      <vt:lpstr>600 482 Airport</vt:lpstr>
      <vt:lpstr>661 440 WPCF</vt:lpstr>
      <vt:lpstr>661 449 Hwy</vt:lpstr>
      <vt:lpstr>661 700 Debt</vt:lpstr>
      <vt:lpstr>661 910 Benefits</vt:lpstr>
      <vt:lpstr>Debt Exclusion Calc.</vt:lpstr>
      <vt:lpstr>Police Wages</vt:lpstr>
      <vt:lpstr>UE Wages</vt:lpstr>
      <vt:lpstr>NAGE &amp; Non-Union Wages</vt:lpstr>
      <vt:lpstr>Longevity</vt:lpstr>
      <vt:lpstr>Split Debt Service</vt:lpstr>
      <vt:lpstr>Combined Debt Schedule</vt:lpstr>
      <vt:lpstr>Town Meeting Wages By Position</vt:lpstr>
      <vt:lpstr>Report to Town Meeting </vt:lpstr>
      <vt:lpstr>'113 Town Mtg'!Print_Area</vt:lpstr>
      <vt:lpstr>'122 Selectboard'!Print_Area</vt:lpstr>
      <vt:lpstr>'131 Fin Comm'!Print_Area</vt:lpstr>
      <vt:lpstr>'132 Reserve Fund'!Print_Area</vt:lpstr>
      <vt:lpstr>'135 Acct'!Print_Area</vt:lpstr>
      <vt:lpstr>'141 BOA'!Print_Area</vt:lpstr>
      <vt:lpstr>'145 Treas'!Print_Area</vt:lpstr>
      <vt:lpstr>'151 Counsel'!Print_Area</vt:lpstr>
      <vt:lpstr>'155 IT'!Print_Area</vt:lpstr>
      <vt:lpstr>'159 Shared Costs'!Print_Area</vt:lpstr>
      <vt:lpstr>'161 Clerk'!Print_Area</vt:lpstr>
      <vt:lpstr>'175 Planning'!Print_Area</vt:lpstr>
      <vt:lpstr>'176 ZBA'!Print_Area</vt:lpstr>
      <vt:lpstr>'182 MEDIC'!Print_Area</vt:lpstr>
      <vt:lpstr>'190 Publ Bldg Utilities'!Print_Area</vt:lpstr>
      <vt:lpstr>'192 Public Bldgs'!Print_Area</vt:lpstr>
      <vt:lpstr>'211 Police'!Print_Area</vt:lpstr>
      <vt:lpstr>'212 Dispatch'!Print_Area</vt:lpstr>
      <vt:lpstr>'241 Bldg'!Print_Area</vt:lpstr>
      <vt:lpstr>'244 Sealer'!Print_Area</vt:lpstr>
      <vt:lpstr>'291 Emergency'!Print_Area</vt:lpstr>
      <vt:lpstr>'292 Animal'!Print_Area</vt:lpstr>
      <vt:lpstr>'294 Forest Warden'!Print_Area</vt:lpstr>
      <vt:lpstr>'299 Tree Warden'!Print_Area</vt:lpstr>
      <vt:lpstr>'300 Schools'!Print_Area</vt:lpstr>
      <vt:lpstr>'420 DPW'!Print_Area</vt:lpstr>
      <vt:lpstr>'422 Maintenance'!Print_Area</vt:lpstr>
      <vt:lpstr>'423 Snow'!Print_Area</vt:lpstr>
      <vt:lpstr>'433 Solid Waste'!Print_Area</vt:lpstr>
      <vt:lpstr>'491 Cemetery'!Print_Area</vt:lpstr>
      <vt:lpstr>'511 BOH'!Print_Area</vt:lpstr>
      <vt:lpstr>'541 COA'!Print_Area</vt:lpstr>
      <vt:lpstr>'543 Vets'!Print_Area</vt:lpstr>
      <vt:lpstr>'600 482 Airport'!Print_Area</vt:lpstr>
      <vt:lpstr>'610 Library'!Print_Area</vt:lpstr>
      <vt:lpstr>'630 Recreation'!Print_Area</vt:lpstr>
      <vt:lpstr>'652 Parks'!Print_Area</vt:lpstr>
      <vt:lpstr>'661 440 WPCF'!Print_Area</vt:lpstr>
      <vt:lpstr>'661 449 Hwy'!Print_Area</vt:lpstr>
      <vt:lpstr>'661 700 Debt'!Print_Area</vt:lpstr>
      <vt:lpstr>'661 910 Benefits'!Print_Area</vt:lpstr>
      <vt:lpstr>'691 Historical Comm'!Print_Area</vt:lpstr>
      <vt:lpstr>'693 Memorials'!Print_Area</vt:lpstr>
      <vt:lpstr>'700 Debt '!Print_Area</vt:lpstr>
      <vt:lpstr>'840 Intergovt'!Print_Area</vt:lpstr>
      <vt:lpstr>'910 Benefits'!Print_Area</vt:lpstr>
      <vt:lpstr>'946 Insurance'!Print_Area</vt:lpstr>
      <vt:lpstr>'Affordable Assessment'!Print_Area</vt:lpstr>
      <vt:lpstr>'Colle 228 183'!Print_Area</vt:lpstr>
      <vt:lpstr>'Combined Debt Schedule'!Print_Area</vt:lpstr>
      <vt:lpstr>'Financial Policy Numbers'!Print_Area</vt:lpstr>
      <vt:lpstr>'NAGE &amp; Non-Union Wages'!Print_Area</vt:lpstr>
      <vt:lpstr>'Police Wages'!Print_Area</vt:lpstr>
      <vt:lpstr>'Report to Town Meeting '!Print_Area</vt:lpstr>
      <vt:lpstr>'Revenue Projections Detail'!Print_Area</vt:lpstr>
      <vt:lpstr>'Town Meeting Wages By Position'!Print_Area</vt:lpstr>
      <vt:lpstr>'Working Budget with funding det'!Print_Area</vt:lpstr>
      <vt:lpstr>'192 Public Bldgs'!Print_Titles</vt:lpstr>
      <vt:lpstr>'211 Police'!Print_Titles</vt:lpstr>
      <vt:lpstr>'292 Animal'!Print_Titles</vt:lpstr>
      <vt:lpstr>'420 DPW'!Print_Titles</vt:lpstr>
      <vt:lpstr>'422 Maintenance'!Print_Titles</vt:lpstr>
      <vt:lpstr>'661 440 WPCF'!Print_Titles</vt:lpstr>
      <vt:lpstr>'661 700 Debt'!Print_Titles</vt:lpstr>
      <vt:lpstr>'700 Debt '!Print_Titles</vt:lpstr>
      <vt:lpstr>'Combined Debt Schedule'!Print_Titles</vt:lpstr>
      <vt:lpstr>'Financial Policy Numbers'!Print_Titles</vt:lpstr>
      <vt:lpstr>'Report to Town Meeting '!Print_Titles</vt:lpstr>
      <vt:lpstr>'Revenue Projections Detail'!Print_Titles</vt:lpstr>
      <vt:lpstr>'Town Meeting Wages By Position'!Print_Titles</vt:lpstr>
      <vt:lpstr>'Working Budget with funding det'!Print_Titles</vt:lpstr>
    </vt:vector>
  </TitlesOfParts>
  <Company>Town Of Montague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Montague-User</dc:creator>
  <cp:lastModifiedBy>CarolynO-Montague Town Accountant</cp:lastModifiedBy>
  <cp:lastPrinted>2020-05-19T19:47:12Z</cp:lastPrinted>
  <dcterms:created xsi:type="dcterms:W3CDTF">2000-05-08T16:10:41Z</dcterms:created>
  <dcterms:modified xsi:type="dcterms:W3CDTF">2020-05-27T16:51:33Z</dcterms:modified>
</cp:coreProperties>
</file>